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6375" tabRatio="883" firstSheet="11" activeTab="1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'06'!$A$1:$U$90</definedName>
    <definedName name="_xlnm.Print_Area" localSheetId="13">'07'!$A$1:$U$90</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<sst xmlns="http://schemas.openxmlformats.org/spreadsheetml/2006/main" count="1211" uniqueCount="574">
  <si>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</si>
  <si>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</si>
  <si>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</si>
  <si>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</si>
  <si>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</si>
  <si>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</si>
  <si>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</si>
  <si>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</si>
  <si>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</si>
  <si>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</si>
  <si>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</si>
  <si>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</si>
  <si>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</si>
  <si>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</si>
  <si>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</si>
  <si>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</si>
  <si>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</si>
  <si>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</si>
  <si>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</si>
  <si>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</si>
  <si>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</si>
  <si>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</si>
  <si>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</si>
  <si>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</si>
  <si>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</si>
  <si>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</si>
  <si>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</si>
  <si>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</si>
  <si>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</si>
  <si>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</si>
  <si>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</si>
  <si>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</si>
  <si>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</si>
  <si>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</si>
  <si>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</si>
  <si>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</si>
  <si>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</si>
  <si>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</si>
  <si>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</si>
  <si>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</si>
  <si>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</si>
  <si>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</si>
  <si>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</si>
  <si>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</si>
  <si>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</si>
  <si>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</si>
  <si>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</si>
  <si>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</si>
  <si>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</si>
  <si>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</si>
  <si>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</si>
  <si>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</si>
  <si>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</si>
  <si>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</si>
  <si>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</si>
  <si>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</si>
  <si>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</si>
  <si>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</si>
  <si>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</si>
  <si>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</si>
  <si>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</si>
  <si>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</si>
  <si>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</si>
  <si>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</si>
  <si>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</si>
  <si>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</si>
  <si>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</si>
  <si>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</si>
  <si>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</si>
  <si>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</si>
  <si>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</si>
  <si>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</si>
  <si>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</si>
  <si>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</si>
  <si>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</si>
  <si>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</si>
  <si>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</si>
  <si>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</si>
  <si>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</si>
  <si>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</si>
  <si>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</si>
  <si>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</si>
  <si>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</si>
  <si>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</si>
  <si>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</si>
  <si>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</si>
  <si>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</si>
  <si>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</si>
  <si>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</si>
  <si>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</si>
  <si>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</si>
  <si>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</si>
  <si>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</si>
  <si>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</si>
  <si>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</si>
  <si>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</si>
  <si>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</si>
  <si>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</si>
  <si>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</si>
  <si>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</si>
  <si>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</si>
  <si>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</si>
  <si>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</si>
  <si>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</si>
  <si>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</si>
  <si>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</si>
  <si>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</si>
  <si>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</si>
  <si>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</si>
  <si>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</si>
  <si>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</si>
  <si>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</si>
  <si>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</si>
  <si>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</si>
  <si>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</si>
  <si>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</si>
  <si>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</si>
  <si>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</si>
  <si>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</si>
  <si>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</si>
  <si>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</si>
  <si>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</si>
  <si>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</si>
  <si>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</si>
  <si>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</si>
  <si>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</si>
  <si>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</si>
  <si>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</si>
  <si>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</si>
  <si>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</si>
  <si>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</si>
  <si>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</si>
  <si>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</si>
  <si>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</si>
  <si>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</si>
  <si>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</si>
  <si>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</si>
  <si>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</si>
  <si>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</si>
  <si>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</si>
  <si>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</si>
  <si>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</si>
  <si>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</si>
  <si>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</si>
  <si>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</si>
  <si>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</si>
  <si>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</si>
  <si>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</si>
  <si>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</si>
  <si>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</si>
  <si>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</si>
  <si>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</si>
  <si>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</si>
  <si>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</si>
  <si>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</si>
  <si>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</si>
  <si>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</si>
  <si>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</si>
  <si>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</si>
  <si>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</si>
  <si>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</si>
  <si>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</si>
  <si>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</si>
  <si>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</si>
  <si>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</si>
  <si>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</si>
  <si>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</si>
  <si>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</si>
  <si>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</si>
  <si>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</si>
  <si>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</si>
  <si>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</si>
  <si>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</si>
  <si>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</si>
  <si>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</si>
  <si>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</si>
  <si>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</si>
  <si>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</si>
  <si>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</si>
  <si>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</si>
  <si>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</si>
  <si>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</si>
  <si>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</si>
  <si>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</si>
  <si>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</si>
  <si>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</si>
  <si>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</si>
  <si>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</si>
  <si>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</si>
  <si>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</si>
  <si>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</si>
  <si>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</si>
  <si>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</si>
  <si>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</si>
  <si>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</si>
  <si>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</si>
  <si>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</si>
  <si>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</si>
  <si>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</si>
  <si>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</si>
  <si>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</si>
  <si>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</si>
  <si>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</si>
  <si>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</si>
  <si>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</si>
  <si>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</si>
  <si>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</si>
  <si>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</si>
  <si>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</si>
  <si>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</si>
  <si>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</si>
  <si>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</si>
  <si>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</si>
  <si>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</si>
  <si>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</si>
  <si>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</si>
  <si>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</si>
  <si>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</si>
  <si>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</si>
  <si>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</si>
  <si>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</si>
  <si>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</si>
  <si>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</si>
  <si>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</si>
  <si>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</si>
  <si>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</si>
  <si>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</si>
  <si>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</si>
  <si>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</si>
  <si>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</si>
  <si>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</si>
  <si>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</si>
  <si>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</si>
  <si>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</si>
  <si>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</si>
  <si>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</si>
  <si>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</si>
  <si>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</si>
  <si>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</si>
  <si>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</si>
  <si>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</si>
  <si>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</si>
  <si>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</si>
  <si>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</si>
  <si>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</si>
  <si>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</si>
  <si>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</si>
  <si>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</si>
  <si>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</si>
  <si>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</si>
  <si>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</si>
  <si>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</si>
  <si>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</si>
  <si>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</si>
  <si>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</si>
  <si>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</si>
  <si>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</si>
  <si>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</si>
  <si>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</si>
  <si>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</si>
  <si>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</si>
  <si>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</si>
  <si>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</si>
  <si>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</si>
  <si>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</si>
  <si>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</si>
  <si>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</si>
  <si>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</si>
  <si>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</si>
  <si>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</si>
  <si>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</si>
  <si>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</si>
  <si>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</si>
  <si>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</si>
  <si>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</si>
  <si>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</si>
  <si>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</si>
  <si>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</si>
  <si>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</si>
  <si>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</si>
  <si>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</si>
  <si>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</si>
  <si>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</si>
  <si>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</si>
  <si>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</si>
  <si>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</si>
  <si>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</si>
  <si>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</si>
  <si>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</si>
  <si>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</si>
  <si>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</si>
  <si>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</si>
  <si>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</si>
  <si>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</si>
  <si>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</si>
  <si>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</si>
  <si>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</si>
  <si>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</si>
  <si>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</si>
  <si>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</si>
  <si>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</si>
  <si>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</si>
  <si>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</si>
  <si>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</si>
  <si>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</si>
  <si>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</si>
  <si>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</si>
  <si>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</si>
  <si>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</si>
  <si>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</si>
  <si>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</si>
  <si>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</si>
  <si>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</si>
  <si>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</si>
  <si>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</si>
  <si>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</si>
  <si>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</si>
  <si>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</si>
  <si>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</si>
  <si>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</si>
  <si>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</si>
  <si>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</si>
  <si>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</si>
  <si>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</si>
  <si>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</si>
  <si>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</si>
  <si>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</si>
  <si>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</si>
  <si>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</si>
  <si>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</si>
  <si>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</si>
  <si>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</si>
  <si>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</si>
  <si>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</si>
  <si>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</si>
  <si>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</si>
  <si>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</si>
  <si>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</si>
  <si>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</si>
  <si>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</si>
  <si>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</si>
  <si>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</si>
  <si>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</si>
  <si>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</si>
  <si>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</si>
  <si>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</si>
  <si>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</si>
  <si>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</si>
  <si>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</si>
  <si>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</si>
  <si>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</si>
  <si>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</si>
  <si>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</si>
  <si>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</si>
  <si>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</si>
  <si>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</si>
  <si>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</si>
  <si>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</si>
  <si>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</si>
  <si>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</si>
  <si>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</si>
  <si>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</si>
  <si>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</si>
  <si>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</si>
  <si>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</si>
  <si>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</si>
  <si>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</si>
  <si>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</si>
  <si>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</si>
  <si>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</si>
  <si>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</si>
  <si>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</si>
  <si>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</si>
  <si>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</si>
  <si>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</si>
  <si>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</si>
  <si>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</si>
  <si>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</si>
  <si>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</si>
  <si>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</si>
  <si>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</si>
  <si>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</si>
  <si>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</si>
  <si>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</si>
  <si>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</si>
  <si>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</si>
  <si>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</si>
  <si>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</si>
  <si>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</si>
  <si>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</si>
  <si>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</si>
  <si>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</si>
  <si>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</si>
  <si>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</si>
  <si>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</si>
  <si>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</si>
  <si>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</si>
  <si>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</si>
  <si>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</si>
  <si>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</si>
  <si>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</si>
  <si>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</si>
  <si>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</si>
  <si>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</si>
  <si>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</si>
  <si>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</si>
  <si>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</si>
  <si>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</si>
  <si>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</si>
  <si>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</si>
  <si>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</si>
  <si>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</si>
  <si>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</si>
  <si>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</si>
  <si>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</si>
  <si>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</si>
  <si>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</si>
  <si>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</si>
  <si>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</si>
  <si>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</si>
  <si>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</si>
  <si>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</si>
  <si>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</si>
  <si>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</si>
  <si>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</si>
  <si>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</si>
  <si>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</si>
  <si>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</si>
  <si>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</si>
  <si>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</si>
  <si>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</si>
  <si>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</si>
  <si>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</si>
  <si>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</si>
  <si>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</si>
  <si>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</si>
  <si>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Võ Quang Vinh</t>
  </si>
  <si>
    <t>9.4</t>
  </si>
  <si>
    <t>9.3</t>
  </si>
  <si>
    <t>Phan Văn Vũ</t>
  </si>
  <si>
    <t>9.2</t>
  </si>
  <si>
    <t>Ông Văn Lời</t>
  </si>
  <si>
    <t>9.1</t>
  </si>
  <si>
    <t>Huyện Trà Cú</t>
  </si>
  <si>
    <t>8.5</t>
  </si>
  <si>
    <t>Nguyễn Văn Liệt</t>
  </si>
  <si>
    <t>8.4</t>
  </si>
  <si>
    <t>8.3</t>
  </si>
  <si>
    <t>8.2</t>
  </si>
  <si>
    <t xml:space="preserve"> Lê Văn Chào</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</si>
  <si>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</si>
  <si>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</si>
  <si>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</si>
  <si>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</si>
  <si>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</si>
  <si>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</si>
  <si>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</si>
  <si>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</si>
  <si>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</si>
  <si>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</si>
  <si>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</si>
  <si>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</si>
  <si>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</si>
  <si>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</si>
  <si>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</si>
  <si>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</si>
  <si>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</si>
  <si>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</si>
  <si>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</si>
  <si>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</si>
  <si>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</si>
  <si>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</si>
  <si>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</si>
  <si>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</si>
  <si>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</si>
  <si>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</si>
  <si>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Trương Thanh Hưng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</si>
  <si>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</si>
  <si>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</si>
  <si>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</si>
  <si>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</si>
  <si>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</si>
  <si>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</si>
  <si>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</si>
  <si>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</si>
  <si>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</si>
  <si>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</si>
  <si>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</si>
  <si>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</si>
  <si>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</si>
  <si>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</si>
  <si>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</si>
  <si>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</si>
  <si>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</si>
  <si>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</si>
  <si>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</si>
  <si>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</si>
  <si>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</si>
  <si>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</si>
  <si>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</si>
  <si>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</si>
  <si>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</si>
  <si>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</si>
  <si>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</si>
  <si>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</si>
  <si>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</si>
  <si>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</si>
  <si>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</si>
  <si>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</si>
  <si>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Có điều kiện / tổng số phải thi hành</t>
  </si>
  <si>
    <t>Có điều kiện chuyển kỳ sau</t>
  </si>
  <si>
    <t>19</t>
  </si>
  <si>
    <t>20</t>
  </si>
  <si>
    <t>21</t>
  </si>
  <si>
    <t>22</t>
  </si>
  <si>
    <t>23</t>
  </si>
  <si>
    <t>Trần Văn To</t>
  </si>
  <si>
    <t>Đặng  Văn Hưởng</t>
  </si>
  <si>
    <t>Huỳnh Văn Kha</t>
  </si>
  <si>
    <t>Lê Thị Cẩm Thúy</t>
  </si>
  <si>
    <t>6.6</t>
  </si>
  <si>
    <t>Phan Ngọc Siêng</t>
  </si>
  <si>
    <t>5.5</t>
  </si>
  <si>
    <t>Số việc
 có ĐK 2017</t>
  </si>
  <si>
    <t>Tỷ lệ án tồn</t>
  </si>
  <si>
    <t>Nguyễn Minh Kiệt</t>
  </si>
  <si>
    <t>24</t>
  </si>
  <si>
    <t>25</t>
  </si>
  <si>
    <t>So sánh</t>
  </si>
  <si>
    <t>26</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</si>
  <si>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</si>
  <si>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</si>
  <si>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</si>
  <si>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</si>
  <si>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</si>
  <si>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</si>
  <si>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</si>
  <si>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</si>
  <si>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</si>
  <si>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</si>
  <si>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</si>
  <si>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</si>
  <si>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</si>
  <si>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</si>
  <si>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</si>
  <si>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</si>
  <si>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</si>
  <si>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</si>
  <si>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</si>
  <si>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</si>
  <si>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</si>
  <si>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</si>
  <si>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</si>
  <si>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Lê Văn Chào</t>
  </si>
  <si>
    <t xml:space="preserve"> Nguyễn Văn Liệt</t>
  </si>
  <si>
    <t xml:space="preserve"> Nguyễn Thị Xuân Liễu</t>
  </si>
  <si>
    <t>Huỳnh Công Thành</t>
  </si>
  <si>
    <t>Số chưa có điều kiện chuyển sổ theo dõi riêng</t>
  </si>
  <si>
    <t>27</t>
  </si>
  <si>
    <t>Số việc
 có ĐK 2018</t>
  </si>
  <si>
    <t>Thủy</t>
  </si>
  <si>
    <t>Kiệt</t>
  </si>
  <si>
    <t>187</t>
  </si>
  <si>
    <t>64</t>
  </si>
  <si>
    <t xml:space="preserve">             </t>
  </si>
  <si>
    <t>04 tháng / năm 2019</t>
  </si>
  <si>
    <r>
      <rPr>
        <sz val="12"/>
        <color indexed="10"/>
        <rFont val="Times New Roman"/>
        <family val="1"/>
      </rPr>
      <t>Trà Vinh</t>
    </r>
    <r>
      <rPr>
        <sz val="12"/>
        <rFont val="Times New Roman"/>
        <family val="1"/>
      </rPr>
      <t xml:space="preserve">, ngày </t>
    </r>
    <r>
      <rPr>
        <sz val="12"/>
        <color indexed="10"/>
        <rFont val="Times New Roman"/>
        <family val="1"/>
      </rPr>
      <t>01</t>
    </r>
    <r>
      <rPr>
        <sz val="12"/>
        <rFont val="Times New Roman"/>
        <family val="1"/>
      </rPr>
      <t xml:space="preserve"> tháng 02 năm 2019</t>
    </r>
  </si>
  <si>
    <t>Trần Thị Thu Hiền</t>
  </si>
  <si>
    <t>Thạch Chanh Đa Ra</t>
  </si>
  <si>
    <t>73</t>
  </si>
  <si>
    <t>40</t>
  </si>
  <si>
    <t>154</t>
  </si>
  <si>
    <t xml:space="preserve">  </t>
  </si>
  <si>
    <t>PHÓ CỤC TRƯỞNG PHỤ TRÁCH</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</si>
</sst>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6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5"/>
      <name val="Times New Roman"/>
      <family val="1"/>
    </font>
    <font>
      <b/>
      <i/>
      <sz val="5"/>
      <name val="Times New Roman"/>
      <family val="1"/>
    </font>
    <font>
      <i/>
      <sz val="5"/>
      <name val="Times New Roman"/>
      <family val="1"/>
    </font>
    <font>
      <b/>
      <i/>
      <sz val="7"/>
      <name val="Times New Roman"/>
      <family val="1"/>
    </font>
    <font>
      <i/>
      <sz val="7"/>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10"/>
      <name val="Times New Roman"/>
      <family val="1"/>
    </font>
    <font>
      <sz val="7"/>
      <color indexed="10"/>
      <name val="Times New Roman"/>
      <family val="1"/>
    </font>
    <font>
      <sz val="9"/>
      <color indexed="10"/>
      <name val="Times New Roman"/>
      <family val="1"/>
    </font>
    <font>
      <sz val="6"/>
      <color indexed="10"/>
      <name val="Times New Roman"/>
      <family val="1"/>
    </font>
    <font>
      <sz val="11"/>
      <color indexed="36"/>
      <name val="Times New Roman"/>
      <family val="1"/>
    </font>
    <font>
      <sz val="8"/>
      <color indexed="36"/>
      <name val="Times New Roman"/>
      <family val="1"/>
    </font>
    <font>
      <sz val="7"/>
      <name val="Times"/>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sz val="8"/>
      <color rgb="FFFF0000"/>
      <name val="Times New Roman"/>
      <family val="1"/>
    </font>
    <font>
      <sz val="11"/>
      <color rgb="FFFF0000"/>
      <name val="Times New Roman"/>
      <family val="1"/>
    </font>
    <font>
      <sz val="11"/>
      <color rgb="FF7030A0"/>
      <name val="Times New Roman"/>
      <family val="1"/>
    </font>
    <font>
      <sz val="8"/>
      <color rgb="FF7030A0"/>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FFFF"/>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35"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5"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36"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36"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6"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7"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8" fillId="37" borderId="1" applyNumberFormat="0" applyAlignment="0" applyProtection="0"/>
    <xf numFmtId="0" fontId="38" fillId="38" borderId="2" applyNumberFormat="0" applyAlignment="0" applyProtection="0"/>
    <xf numFmtId="0" fontId="38" fillId="38" borderId="2" applyNumberFormat="0" applyAlignment="0" applyProtection="0"/>
    <xf numFmtId="0" fontId="139" fillId="39" borderId="3"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2"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43"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44"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45"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46" fillId="42" borderId="1" applyNumberFormat="0" applyAlignment="0" applyProtection="0"/>
    <xf numFmtId="0" fontId="45" fillId="9" borderId="2" applyNumberFormat="0" applyAlignment="0" applyProtection="0"/>
    <xf numFmtId="0" fontId="45" fillId="9" borderId="2" applyNumberFormat="0" applyAlignment="0" applyProtection="0"/>
    <xf numFmtId="0" fontId="147"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8"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14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9"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0" fillId="0" borderId="0" applyFont="0" applyFill="0" applyBorder="0" applyAlignment="0" applyProtection="0"/>
    <xf numFmtId="0" fontId="1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1"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899">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15" fillId="0" borderId="0" xfId="145" applyNumberFormat="1" applyFont="1" applyAlignment="1">
      <alignment/>
      <protection/>
    </xf>
    <xf numFmtId="49" fontId="0" fillId="0" borderId="0" xfId="145" applyNumberFormat="1" applyFont="1" applyBorder="1" applyAlignment="1">
      <alignment horizontal="left" wrapText="1"/>
      <protection/>
    </xf>
    <xf numFmtId="49" fontId="18"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3" fillId="47" borderId="22" xfId="145" applyNumberFormat="1" applyFont="1" applyFill="1" applyBorder="1" applyAlignment="1">
      <alignment/>
      <protection/>
    </xf>
    <xf numFmtId="49" fontId="7" fillId="0" borderId="20" xfId="145" applyNumberFormat="1" applyFont="1" applyFill="1" applyBorder="1" applyAlignment="1">
      <alignment horizontal="center" vertical="center" wrapText="1"/>
      <protection/>
    </xf>
    <xf numFmtId="49" fontId="52" fillId="48" borderId="20" xfId="145" applyNumberFormat="1" applyFont="1" applyFill="1" applyBorder="1" applyAlignment="1">
      <alignment horizontal="center"/>
      <protection/>
    </xf>
    <xf numFmtId="49" fontId="7" fillId="0" borderId="21" xfId="145" applyNumberFormat="1" applyFont="1" applyFill="1" applyBorder="1" applyAlignment="1">
      <alignment horizontal="center" vertical="center" wrapText="1"/>
      <protection/>
    </xf>
    <xf numFmtId="49" fontId="7" fillId="0" borderId="20" xfId="145" applyNumberFormat="1" applyFont="1" applyBorder="1" applyAlignment="1">
      <alignment horizontal="center" vertical="center" wrapText="1"/>
      <protection/>
    </xf>
    <xf numFmtId="49" fontId="53" fillId="0" borderId="20" xfId="145" applyNumberFormat="1" applyFont="1" applyFill="1" applyBorder="1" applyAlignment="1">
      <alignment horizontal="center" vertical="center" wrapText="1"/>
      <protection/>
    </xf>
    <xf numFmtId="49" fontId="18"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1" fillId="3" borderId="20" xfId="145" applyNumberFormat="1" applyFont="1" applyFill="1" applyBorder="1" applyAlignment="1">
      <alignment vertical="center"/>
      <protection/>
    </xf>
    <xf numFmtId="3" fontId="56" fillId="3" borderId="20" xfId="145" applyNumberFormat="1" applyFont="1" applyFill="1" applyBorder="1" applyAlignment="1">
      <alignment vertical="center"/>
      <protection/>
    </xf>
    <xf numFmtId="49" fontId="57" fillId="0" borderId="20" xfId="145" applyNumberFormat="1" applyFont="1" applyBorder="1" applyAlignment="1">
      <alignment horizontal="center" vertical="center"/>
      <protection/>
    </xf>
    <xf numFmtId="3" fontId="25" fillId="44" borderId="20" xfId="145" applyNumberFormat="1" applyFont="1" applyFill="1" applyBorder="1" applyAlignment="1">
      <alignment vertical="center"/>
      <protection/>
    </xf>
    <xf numFmtId="3" fontId="3" fillId="48" borderId="20" xfId="145" applyNumberFormat="1" applyFont="1" applyFill="1" applyBorder="1" applyAlignment="1">
      <alignment horizontal="center" vertical="center"/>
      <protection/>
    </xf>
    <xf numFmtId="3" fontId="3" fillId="48" borderId="20" xfId="145" applyNumberFormat="1" applyFont="1" applyFill="1" applyBorder="1" applyAlignment="1">
      <alignment vertical="center"/>
      <protection/>
    </xf>
    <xf numFmtId="49" fontId="7" fillId="44" borderId="20" xfId="145" applyNumberFormat="1" applyFont="1" applyFill="1" applyBorder="1" applyAlignment="1">
      <alignment horizontal="center" vertical="center"/>
      <protection/>
    </xf>
    <xf numFmtId="49" fontId="7" fillId="44" borderId="20" xfId="145" applyNumberFormat="1" applyFont="1" applyFill="1" applyBorder="1" applyAlignment="1">
      <alignment horizontal="left" vertical="center"/>
      <protection/>
    </xf>
    <xf numFmtId="3" fontId="28" fillId="48" borderId="20" xfId="145" applyNumberFormat="1" applyFont="1" applyFill="1" applyBorder="1" applyAlignment="1">
      <alignment vertical="center"/>
      <protection/>
    </xf>
    <xf numFmtId="3" fontId="28" fillId="0" borderId="20" xfId="145" applyNumberFormat="1" applyFont="1" applyFill="1" applyBorder="1" applyAlignment="1">
      <alignment vertical="center"/>
      <protection/>
    </xf>
    <xf numFmtId="9" fontId="0" fillId="0" borderId="0" xfId="154" applyFont="1" applyAlignment="1">
      <alignment vertical="center"/>
    </xf>
    <xf numFmtId="49" fontId="7" fillId="44" borderId="23" xfId="145" applyNumberFormat="1" applyFont="1" applyFill="1" applyBorder="1" applyAlignment="1">
      <alignment horizontal="center" vertical="center"/>
      <protection/>
    </xf>
    <xf numFmtId="3" fontId="25" fillId="44" borderId="20" xfId="145" applyNumberFormat="1" applyFont="1" applyFill="1" applyBorder="1" applyAlignment="1">
      <alignment vertical="center"/>
      <protection/>
    </xf>
    <xf numFmtId="49" fontId="4" fillId="0" borderId="20" xfId="145" applyNumberFormat="1" applyFont="1" applyBorder="1" applyAlignment="1">
      <alignment horizontal="center" vertical="center"/>
      <protection/>
    </xf>
    <xf numFmtId="49" fontId="4" fillId="47" borderId="20" xfId="145" applyNumberFormat="1" applyFont="1" applyFill="1" applyBorder="1" applyAlignment="1">
      <alignment horizontal="left" vertical="center"/>
      <protection/>
    </xf>
    <xf numFmtId="49" fontId="5"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vertical="center"/>
      <protection/>
    </xf>
    <xf numFmtId="49" fontId="20" fillId="0" borderId="0" xfId="145" applyNumberFormat="1" applyFont="1" applyAlignment="1">
      <alignment vertical="center"/>
      <protection/>
    </xf>
    <xf numFmtId="49" fontId="4" fillId="47" borderId="20" xfId="145" applyNumberFormat="1" applyFont="1" applyFill="1" applyBorder="1" applyAlignment="1">
      <alignment horizontal="left" vertical="center"/>
      <protection/>
    </xf>
    <xf numFmtId="3" fontId="28" fillId="0" borderId="20" xfId="146" applyNumberFormat="1" applyFont="1" applyFill="1" applyBorder="1" applyAlignment="1">
      <alignment horizontal="center" vertical="center"/>
      <protection/>
    </xf>
    <xf numFmtId="49" fontId="0" fillId="0" borderId="0" xfId="145" applyNumberFormat="1" applyFill="1">
      <alignment/>
      <protection/>
    </xf>
    <xf numFmtId="49" fontId="20" fillId="0" borderId="0" xfId="145" applyNumberFormat="1" applyFont="1">
      <alignment/>
      <protection/>
    </xf>
    <xf numFmtId="49" fontId="28" fillId="0" borderId="0" xfId="145" applyNumberFormat="1" applyFont="1" applyFill="1" applyBorder="1" applyAlignment="1">
      <alignment horizontal="center" wrapText="1"/>
      <protection/>
    </xf>
    <xf numFmtId="49" fontId="58" fillId="0" borderId="0" xfId="145" applyNumberFormat="1" applyFont="1" applyBorder="1">
      <alignment/>
      <protection/>
    </xf>
    <xf numFmtId="49" fontId="59" fillId="0" borderId="0" xfId="145" applyNumberFormat="1" applyFont="1">
      <alignment/>
      <protection/>
    </xf>
    <xf numFmtId="49" fontId="1" fillId="0" borderId="0" xfId="145" applyNumberFormat="1" applyFont="1">
      <alignment/>
      <protection/>
    </xf>
    <xf numFmtId="9" fontId="1" fillId="0" borderId="0" xfId="154" applyFont="1" applyAlignment="1">
      <alignment/>
    </xf>
    <xf numFmtId="49" fontId="60" fillId="0" borderId="0" xfId="145" applyNumberFormat="1" applyFont="1" applyBorder="1">
      <alignment/>
      <protection/>
    </xf>
    <xf numFmtId="49" fontId="25" fillId="0" borderId="0" xfId="145" applyNumberFormat="1" applyFont="1" applyBorder="1" applyAlignment="1">
      <alignment horizontal="center" wrapText="1"/>
      <protection/>
    </xf>
    <xf numFmtId="49" fontId="25" fillId="0" borderId="0" xfId="145" applyNumberFormat="1" applyFont="1" applyFill="1" applyBorder="1" applyAlignment="1">
      <alignment horizontal="center" wrapText="1"/>
      <protection/>
    </xf>
    <xf numFmtId="49" fontId="61" fillId="0" borderId="0" xfId="145" applyNumberFormat="1" applyFont="1" applyBorder="1">
      <alignment/>
      <protection/>
    </xf>
    <xf numFmtId="49" fontId="62" fillId="0" borderId="0" xfId="145" applyNumberFormat="1" applyFont="1" applyBorder="1" applyAlignment="1">
      <alignment wrapText="1"/>
      <protection/>
    </xf>
    <xf numFmtId="49" fontId="2" fillId="0" borderId="0" xfId="145" applyNumberFormat="1" applyFont="1" applyBorder="1">
      <alignment/>
      <protection/>
    </xf>
    <xf numFmtId="49" fontId="39" fillId="0" borderId="0" xfId="145" applyNumberFormat="1" applyFont="1" applyBorder="1" applyAlignment="1">
      <alignment horizontal="center" wrapText="1"/>
      <protection/>
    </xf>
    <xf numFmtId="49" fontId="39" fillId="0" borderId="0" xfId="145" applyNumberFormat="1" applyFont="1" applyFill="1" applyBorder="1" applyAlignment="1">
      <alignment horizontal="center" wrapText="1"/>
      <protection/>
    </xf>
    <xf numFmtId="49" fontId="63" fillId="0" borderId="0" xfId="145" applyNumberFormat="1" applyFont="1" applyBorder="1">
      <alignment/>
      <protection/>
    </xf>
    <xf numFmtId="49" fontId="28" fillId="0" borderId="0" xfId="145" applyNumberFormat="1" applyFont="1">
      <alignment/>
      <protection/>
    </xf>
    <xf numFmtId="49" fontId="28" fillId="0" borderId="0" xfId="145" applyNumberFormat="1" applyFont="1" applyFill="1">
      <alignment/>
      <protection/>
    </xf>
    <xf numFmtId="49" fontId="28" fillId="47" borderId="0" xfId="145" applyNumberFormat="1" applyFont="1" applyFill="1">
      <alignmen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0" fontId="65" fillId="0" borderId="0" xfId="145" applyFont="1" applyAlignment="1">
      <alignment/>
      <protection/>
    </xf>
    <xf numFmtId="0" fontId="3" fillId="0" borderId="0" xfId="145" applyFont="1" applyAlignment="1">
      <alignment/>
      <protection/>
    </xf>
    <xf numFmtId="49" fontId="30" fillId="0" borderId="0" xfId="145" applyNumberFormat="1" applyFont="1">
      <alignment/>
      <protection/>
    </xf>
    <xf numFmtId="3" fontId="0" fillId="0" borderId="0" xfId="145" applyNumberFormat="1" applyFont="1" applyFill="1">
      <alignment/>
      <protection/>
    </xf>
    <xf numFmtId="49" fontId="3"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19" fillId="0" borderId="22" xfId="145" applyNumberFormat="1" applyFont="1" applyFill="1" applyBorder="1" applyAlignment="1">
      <alignment/>
      <protection/>
    </xf>
    <xf numFmtId="49" fontId="5" fillId="0" borderId="22" xfId="145" applyNumberFormat="1" applyFont="1" applyFill="1" applyBorder="1" applyAlignment="1">
      <alignment horizontal="center"/>
      <protection/>
    </xf>
    <xf numFmtId="49" fontId="0" fillId="0" borderId="0" xfId="145" applyNumberFormat="1" applyFill="1" applyBorder="1">
      <alignment/>
      <protection/>
    </xf>
    <xf numFmtId="49" fontId="6" fillId="0" borderId="20" xfId="145" applyNumberFormat="1" applyFont="1" applyFill="1" applyBorder="1" applyAlignment="1">
      <alignment horizontal="center" vertical="center" wrapText="1"/>
      <protection/>
    </xf>
    <xf numFmtId="49" fontId="19" fillId="0" borderId="20" xfId="145" applyNumberFormat="1" applyFont="1" applyFill="1" applyBorder="1" applyAlignment="1">
      <alignment horizontal="center" vertical="center" wrapText="1"/>
      <protection/>
    </xf>
    <xf numFmtId="3" fontId="29" fillId="3" borderId="20" xfId="145" applyNumberFormat="1" applyFont="1" applyFill="1" applyBorder="1" applyAlignment="1">
      <alignment horizontal="center" vertical="center" wrapText="1"/>
      <protection/>
    </xf>
    <xf numFmtId="3" fontId="68" fillId="3" borderId="20" xfId="145" applyNumberFormat="1" applyFont="1" applyFill="1" applyBorder="1" applyAlignment="1">
      <alignment horizontal="center" vertical="center" wrapText="1"/>
      <protection/>
    </xf>
    <xf numFmtId="3" fontId="6" fillId="44" borderId="20"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 fillId="0" borderId="20" xfId="145" applyNumberFormat="1" applyFont="1" applyFill="1" applyBorder="1" applyAlignment="1">
      <alignment horizontal="left"/>
      <protection/>
    </xf>
    <xf numFmtId="3" fontId="5" fillId="44" borderId="20" xfId="145" applyNumberFormat="1" applyFont="1" applyFill="1" applyBorder="1" applyAlignment="1">
      <alignment horizontal="center" vertical="center" wrapText="1"/>
      <protection/>
    </xf>
    <xf numFmtId="3" fontId="5" fillId="0" borderId="20" xfId="145" applyNumberFormat="1" applyFont="1" applyFill="1" applyBorder="1" applyAlignment="1">
      <alignment horizontal="center" vertical="center" wrapText="1"/>
      <protection/>
    </xf>
    <xf numFmtId="9" fontId="0" fillId="0" borderId="0" xfId="154" applyFont="1" applyFill="1" applyAlignment="1">
      <alignment/>
    </xf>
    <xf numFmtId="49" fontId="7" fillId="44" borderId="23" xfId="145" applyNumberFormat="1" applyFont="1" applyFill="1" applyBorder="1" applyAlignment="1">
      <alignment horizontal="center"/>
      <protection/>
    </xf>
    <xf numFmtId="49" fontId="7" fillId="44" borderId="20" xfId="145" applyNumberFormat="1" applyFont="1" applyFill="1" applyBorder="1" applyAlignment="1">
      <alignment horizontal="left"/>
      <protection/>
    </xf>
    <xf numFmtId="49" fontId="4" fillId="0" borderId="23" xfId="145" applyNumberFormat="1" applyFont="1" applyFill="1" applyBorder="1" applyAlignment="1">
      <alignment horizontal="center"/>
      <protection/>
    </xf>
    <xf numFmtId="49" fontId="4" fillId="47" borderId="20" xfId="145" applyNumberFormat="1" applyFont="1" applyFill="1" applyBorder="1" applyAlignment="1">
      <alignment horizontal="left"/>
      <protection/>
    </xf>
    <xf numFmtId="3" fontId="5" fillId="47" borderId="20" xfId="145" applyNumberFormat="1" applyFont="1" applyFill="1" applyBorder="1" applyAlignment="1">
      <alignment horizontal="center" vertical="center" wrapText="1"/>
      <protection/>
    </xf>
    <xf numFmtId="49" fontId="5" fillId="47" borderId="20" xfId="145" applyNumberFormat="1" applyFont="1" applyFill="1" applyBorder="1" applyAlignment="1">
      <alignment horizontal="left"/>
      <protection/>
    </xf>
    <xf numFmtId="49" fontId="6" fillId="0" borderId="19" xfId="145" applyNumberFormat="1" applyFont="1" applyFill="1" applyBorder="1" applyAlignment="1">
      <alignment horizontal="center"/>
      <protection/>
    </xf>
    <xf numFmtId="49" fontId="6" fillId="0" borderId="19" xfId="145" applyNumberFormat="1" applyFont="1" applyFill="1" applyBorder="1" applyAlignment="1">
      <alignment horizontal="left"/>
      <protection/>
    </xf>
    <xf numFmtId="3" fontId="5" fillId="0" borderId="19" xfId="145" applyNumberFormat="1" applyFont="1" applyFill="1" applyBorder="1" applyAlignment="1">
      <alignment horizontal="center" vertical="center" wrapText="1"/>
      <protection/>
    </xf>
    <xf numFmtId="49" fontId="15" fillId="0" borderId="0" xfId="145" applyNumberFormat="1" applyFont="1" applyFill="1" applyBorder="1" applyAlignment="1">
      <alignment vertical="center" wrapText="1"/>
      <protection/>
    </xf>
    <xf numFmtId="49" fontId="69" fillId="0" borderId="0" xfId="145" applyNumberFormat="1" applyFont="1" applyFill="1">
      <alignment/>
      <protection/>
    </xf>
    <xf numFmtId="49" fontId="4" fillId="0" borderId="0" xfId="145" applyNumberFormat="1" applyFont="1" applyFill="1">
      <alignment/>
      <protection/>
    </xf>
    <xf numFmtId="49" fontId="0" fillId="47" borderId="0" xfId="145" applyNumberFormat="1" applyFont="1" applyFill="1">
      <alignment/>
      <protection/>
    </xf>
    <xf numFmtId="49" fontId="3" fillId="47" borderId="0" xfId="145" applyNumberFormat="1" applyFont="1" applyFill="1" applyAlignment="1">
      <alignment horizontal="center"/>
      <protection/>
    </xf>
    <xf numFmtId="49" fontId="22" fillId="0" borderId="0" xfId="145" applyNumberFormat="1" applyFont="1" applyFill="1">
      <alignment/>
      <protection/>
    </xf>
    <xf numFmtId="49" fontId="3" fillId="0" borderId="0" xfId="145" applyNumberFormat="1" applyFont="1" applyFill="1">
      <alignment/>
      <protection/>
    </xf>
    <xf numFmtId="49" fontId="13" fillId="0" borderId="0" xfId="145" applyNumberFormat="1" applyFont="1" applyFill="1" applyAlignment="1">
      <alignment/>
      <protection/>
    </xf>
    <xf numFmtId="49" fontId="13" fillId="0" borderId="0" xfId="145" applyNumberFormat="1" applyFont="1" applyFill="1" applyAlignment="1">
      <alignment wrapText="1"/>
      <protection/>
    </xf>
    <xf numFmtId="49" fontId="13"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3" fillId="0" borderId="20" xfId="145" applyNumberFormat="1" applyFont="1" applyBorder="1" applyAlignment="1">
      <alignment horizontal="center"/>
      <protection/>
    </xf>
    <xf numFmtId="3" fontId="4" fillId="4" borderId="20" xfId="146" applyNumberFormat="1" applyFont="1" applyFill="1" applyBorder="1" applyAlignment="1">
      <alignment horizontal="center" vertical="center"/>
      <protection/>
    </xf>
    <xf numFmtId="3" fontId="31" fillId="47" borderId="20" xfId="145" applyNumberFormat="1" applyFont="1" applyFill="1" applyBorder="1" applyAlignment="1">
      <alignment horizontal="center" vertical="center"/>
      <protection/>
    </xf>
    <xf numFmtId="3" fontId="17" fillId="3" borderId="20" xfId="145" applyNumberFormat="1" applyFont="1" applyFill="1" applyBorder="1" applyAlignment="1">
      <alignment horizontal="center" vertical="center"/>
      <protection/>
    </xf>
    <xf numFmtId="3" fontId="33" fillId="3"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4" borderId="20" xfId="145" applyNumberFormat="1" applyFont="1" applyFill="1" applyBorder="1" applyAlignment="1">
      <alignment horizontal="center" vertical="center"/>
      <protection/>
    </xf>
    <xf numFmtId="3" fontId="7" fillId="4" borderId="20" xfId="146" applyNumberFormat="1" applyFont="1" applyFill="1" applyBorder="1" applyAlignment="1">
      <alignment horizontal="center" vertical="center"/>
      <protection/>
    </xf>
    <xf numFmtId="49" fontId="7" fillId="0" borderId="20" xfId="145" applyNumberFormat="1" applyFont="1" applyBorder="1" applyAlignment="1">
      <alignment horizontal="center" vertical="center"/>
      <protection/>
    </xf>
    <xf numFmtId="49" fontId="7" fillId="47" borderId="20" xfId="145" applyNumberFormat="1" applyFont="1" applyFill="1" applyBorder="1" applyAlignment="1">
      <alignment horizontal="left" vertical="center"/>
      <protection/>
    </xf>
    <xf numFmtId="3" fontId="4" fillId="47" borderId="20" xfId="145" applyNumberFormat="1" applyFont="1" applyFill="1" applyBorder="1" applyAlignment="1">
      <alignment horizontal="center" vertical="center"/>
      <protection/>
    </xf>
    <xf numFmtId="3" fontId="4" fillId="44" borderId="20" xfId="145" applyNumberFormat="1" applyFont="1" applyFill="1" applyBorder="1" applyAlignment="1">
      <alignment horizontal="center" vertical="center"/>
      <protection/>
    </xf>
    <xf numFmtId="49" fontId="4"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4" fillId="0" borderId="20" xfId="145" applyNumberFormat="1" applyFont="1" applyFill="1" applyBorder="1" applyAlignment="1">
      <alignment horizontal="center" vertical="center"/>
      <protection/>
    </xf>
    <xf numFmtId="3" fontId="4" fillId="47" borderId="20" xfId="146" applyNumberFormat="1" applyFont="1" applyFill="1" applyBorder="1" applyAlignment="1">
      <alignment horizontal="center" vertical="center"/>
      <protection/>
    </xf>
    <xf numFmtId="49" fontId="4" fillId="47" borderId="23" xfId="145" applyNumberFormat="1" applyFont="1" applyFill="1" applyBorder="1" applyAlignment="1">
      <alignment horizontal="center" vertical="center"/>
      <protection/>
    </xf>
    <xf numFmtId="9" fontId="20" fillId="0" borderId="0" xfId="154" applyFont="1" applyAlignment="1">
      <alignment vertical="center"/>
    </xf>
    <xf numFmtId="49" fontId="4" fillId="0" borderId="0" xfId="145" applyNumberFormat="1" applyFont="1" applyBorder="1" applyAlignment="1">
      <alignment horizontal="center"/>
      <protection/>
    </xf>
    <xf numFmtId="49" fontId="4"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4" fillId="47" borderId="19" xfId="146" applyNumberFormat="1" applyFont="1" applyFill="1" applyBorder="1" applyAlignment="1">
      <alignment horizontal="center" vertical="center"/>
      <protection/>
    </xf>
    <xf numFmtId="9" fontId="0" fillId="0" borderId="0" xfId="154" applyFont="1" applyAlignment="1">
      <alignment/>
    </xf>
    <xf numFmtId="49" fontId="28" fillId="0" borderId="0" xfId="145" applyNumberFormat="1" applyFont="1" applyBorder="1" applyAlignment="1">
      <alignment wrapText="1"/>
      <protection/>
    </xf>
    <xf numFmtId="3" fontId="4" fillId="47" borderId="0" xfId="146" applyNumberFormat="1" applyFont="1" applyFill="1" applyBorder="1" applyAlignment="1">
      <alignment horizontal="center" vertical="center"/>
      <protection/>
    </xf>
    <xf numFmtId="49" fontId="28" fillId="0" borderId="0" xfId="145" applyNumberFormat="1" applyFont="1" applyAlignment="1">
      <alignment wrapText="1"/>
      <protection/>
    </xf>
    <xf numFmtId="49" fontId="36" fillId="0" borderId="0" xfId="145" applyNumberFormat="1" applyFont="1">
      <alignment/>
      <protection/>
    </xf>
    <xf numFmtId="49" fontId="36" fillId="0" borderId="0" xfId="145" applyNumberFormat="1" applyFont="1" applyAlignment="1">
      <alignment wrapText="1"/>
      <protection/>
    </xf>
    <xf numFmtId="49" fontId="3" fillId="47" borderId="0" xfId="145" applyNumberFormat="1" applyFont="1" applyFill="1" applyAlignment="1">
      <alignment/>
      <protection/>
    </xf>
    <xf numFmtId="49" fontId="71" fillId="0" borderId="0" xfId="145" applyNumberFormat="1" applyFont="1">
      <alignment/>
      <protection/>
    </xf>
    <xf numFmtId="49" fontId="13" fillId="0" borderId="0" xfId="145" applyNumberFormat="1" applyFont="1" applyBorder="1" applyAlignment="1">
      <alignment wrapText="1"/>
      <protection/>
    </xf>
    <xf numFmtId="49" fontId="0" fillId="0" borderId="0" xfId="147" applyNumberFormat="1" applyFont="1" applyAlignment="1">
      <alignment horizontal="left"/>
      <protection/>
    </xf>
    <xf numFmtId="49" fontId="14" fillId="0" borderId="0" xfId="147" applyNumberFormat="1" applyFont="1" applyAlignment="1">
      <alignment wrapText="1"/>
      <protection/>
    </xf>
    <xf numFmtId="49" fontId="3"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26" fillId="0" borderId="0" xfId="147" applyNumberFormat="1" applyFont="1">
      <alignment/>
      <protection/>
    </xf>
    <xf numFmtId="49" fontId="0" fillId="47" borderId="0" xfId="147" applyNumberFormat="1" applyFont="1" applyFill="1" applyBorder="1" applyAlignment="1">
      <alignment/>
      <protection/>
    </xf>
    <xf numFmtId="49" fontId="3"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18" fillId="0" borderId="22" xfId="147" applyNumberFormat="1" applyFont="1" applyBorder="1" applyAlignment="1">
      <alignment horizontal="left"/>
      <protection/>
    </xf>
    <xf numFmtId="49" fontId="3" fillId="0" borderId="22" xfId="147" applyNumberFormat="1" applyFont="1" applyBorder="1" applyAlignment="1">
      <alignment horizontal="left"/>
      <protection/>
    </xf>
    <xf numFmtId="49" fontId="26" fillId="0" borderId="0" xfId="147" applyNumberFormat="1" applyFont="1" applyFill="1">
      <alignment/>
      <protection/>
    </xf>
    <xf numFmtId="49" fontId="26" fillId="0" borderId="0" xfId="147" applyNumberFormat="1" applyFont="1" applyAlignment="1">
      <alignment vertical="center"/>
      <protection/>
    </xf>
    <xf numFmtId="49" fontId="6" fillId="47" borderId="20" xfId="147" applyNumberFormat="1" applyFont="1" applyFill="1" applyBorder="1" applyAlignment="1">
      <alignment horizontal="left" vertical="center"/>
      <protection/>
    </xf>
    <xf numFmtId="49" fontId="1" fillId="0" borderId="0" xfId="147" applyNumberFormat="1" applyFont="1">
      <alignment/>
      <protection/>
    </xf>
    <xf numFmtId="49" fontId="28" fillId="0" borderId="0" xfId="147" applyNumberFormat="1" applyFont="1" applyBorder="1" applyAlignment="1">
      <alignment/>
      <protection/>
    </xf>
    <xf numFmtId="49" fontId="78" fillId="0" borderId="0" xfId="147" applyNumberFormat="1" applyFont="1">
      <alignment/>
      <protection/>
    </xf>
    <xf numFmtId="49" fontId="25" fillId="0" borderId="0" xfId="147" applyNumberFormat="1" applyFont="1" applyBorder="1" applyAlignment="1">
      <alignment/>
      <protection/>
    </xf>
    <xf numFmtId="49" fontId="5" fillId="0" borderId="0" xfId="147" applyNumberFormat="1" applyFont="1">
      <alignment/>
      <protection/>
    </xf>
    <xf numFmtId="49" fontId="28" fillId="0" borderId="0" xfId="147" applyNumberFormat="1" applyFont="1" applyAlignment="1">
      <alignment horizontal="center"/>
      <protection/>
    </xf>
    <xf numFmtId="49" fontId="28" fillId="0" borderId="0" xfId="147" applyNumberFormat="1" applyFont="1">
      <alignment/>
      <protection/>
    </xf>
    <xf numFmtId="49" fontId="78" fillId="0" borderId="0" xfId="147" applyNumberFormat="1" applyFont="1" applyAlignment="1">
      <alignment horizontal="center"/>
      <protection/>
    </xf>
    <xf numFmtId="49" fontId="13" fillId="0" borderId="0" xfId="147" applyNumberFormat="1" applyFont="1" applyBorder="1" applyAlignment="1">
      <alignment wrapText="1"/>
      <protection/>
    </xf>
    <xf numFmtId="49" fontId="80" fillId="0" borderId="0" xfId="147" applyNumberFormat="1" applyFont="1">
      <alignment/>
      <protection/>
    </xf>
    <xf numFmtId="9" fontId="26" fillId="0" borderId="0" xfId="154" applyFont="1" applyAlignment="1">
      <alignment/>
    </xf>
    <xf numFmtId="3" fontId="0" fillId="47" borderId="0" xfId="147" applyNumberFormat="1" applyFont="1" applyFill="1" applyBorder="1" applyAlignment="1">
      <alignment/>
      <protection/>
    </xf>
    <xf numFmtId="0" fontId="26"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26" fillId="0" borderId="0" xfId="147" applyFont="1">
      <alignment/>
      <protection/>
    </xf>
    <xf numFmtId="0" fontId="6" fillId="0" borderId="20" xfId="147" applyFont="1" applyBorder="1" applyAlignment="1">
      <alignment horizontal="center" vertical="center"/>
      <protection/>
    </xf>
    <xf numFmtId="0" fontId="6" fillId="47" borderId="20" xfId="147" applyFont="1" applyFill="1" applyBorder="1" applyAlignment="1">
      <alignment horizontal="left" vertical="center"/>
      <protection/>
    </xf>
    <xf numFmtId="9" fontId="26" fillId="0" borderId="0" xfId="154" applyFont="1" applyAlignment="1">
      <alignment vertical="center"/>
    </xf>
    <xf numFmtId="0" fontId="5" fillId="0" borderId="23" xfId="147" applyFont="1" applyBorder="1" applyAlignment="1">
      <alignment horizontal="center" vertical="center"/>
      <protection/>
    </xf>
    <xf numFmtId="0" fontId="26" fillId="0" borderId="0" xfId="147" applyFont="1" applyAlignment="1">
      <alignment vertical="center"/>
      <protection/>
    </xf>
    <xf numFmtId="0" fontId="1" fillId="0" borderId="0" xfId="147" applyFont="1">
      <alignment/>
      <protection/>
    </xf>
    <xf numFmtId="0" fontId="25" fillId="0" borderId="0" xfId="147" applyFont="1" applyBorder="1" applyAlignment="1">
      <alignment horizontal="center" wrapText="1"/>
      <protection/>
    </xf>
    <xf numFmtId="0" fontId="28" fillId="0" borderId="0" xfId="147" applyFont="1" applyBorder="1" applyAlignment="1">
      <alignment wrapText="1"/>
      <protection/>
    </xf>
    <xf numFmtId="0" fontId="25" fillId="0" borderId="0" xfId="147" applyNumberFormat="1" applyFont="1" applyBorder="1" applyAlignment="1">
      <alignment/>
      <protection/>
    </xf>
    <xf numFmtId="0" fontId="78" fillId="0" borderId="0" xfId="147" applyFont="1">
      <alignment/>
      <protection/>
    </xf>
    <xf numFmtId="0" fontId="25" fillId="0" borderId="0" xfId="147" applyNumberFormat="1" applyFont="1" applyBorder="1" applyAlignment="1">
      <alignment horizontal="center"/>
      <protection/>
    </xf>
    <xf numFmtId="0" fontId="5" fillId="0" borderId="0" xfId="147" applyFont="1">
      <alignment/>
      <protection/>
    </xf>
    <xf numFmtId="0" fontId="28" fillId="0" borderId="0" xfId="147" applyFont="1">
      <alignment/>
      <protection/>
    </xf>
    <xf numFmtId="0" fontId="25" fillId="0" borderId="0" xfId="145" applyFont="1" applyAlignment="1">
      <alignment/>
      <protection/>
    </xf>
    <xf numFmtId="49" fontId="19" fillId="0" borderId="0" xfId="147" applyNumberFormat="1" applyFont="1">
      <alignment/>
      <protection/>
    </xf>
    <xf numFmtId="49" fontId="4" fillId="47" borderId="0" xfId="147" applyNumberFormat="1" applyFont="1" applyFill="1" applyBorder="1" applyAlignment="1">
      <alignment horizontal="left"/>
      <protection/>
    </xf>
    <xf numFmtId="49" fontId="4" fillId="0" borderId="0" xfId="147" applyNumberFormat="1" applyFont="1" applyBorder="1" applyAlignment="1">
      <alignment horizontal="left"/>
      <protection/>
    </xf>
    <xf numFmtId="49" fontId="0" fillId="0" borderId="22" xfId="147" applyNumberFormat="1" applyFont="1" applyBorder="1" applyAlignment="1">
      <alignment/>
      <protection/>
    </xf>
    <xf numFmtId="49" fontId="6" fillId="0" borderId="20" xfId="147" applyNumberFormat="1" applyFont="1" applyFill="1" applyBorder="1" applyAlignment="1">
      <alignment horizontal="center" vertical="center" wrapText="1"/>
      <protection/>
    </xf>
    <xf numFmtId="49" fontId="5" fillId="0" borderId="24" xfId="147" applyNumberFormat="1" applyFont="1" applyFill="1" applyBorder="1">
      <alignment/>
      <protection/>
    </xf>
    <xf numFmtId="49" fontId="5" fillId="0" borderId="0" xfId="147" applyNumberFormat="1" applyFont="1" applyFill="1">
      <alignment/>
      <protection/>
    </xf>
    <xf numFmtId="49" fontId="24" fillId="0" borderId="0" xfId="147" applyNumberFormat="1" applyFont="1" applyFill="1">
      <alignment/>
      <protection/>
    </xf>
    <xf numFmtId="49" fontId="6" fillId="0" borderId="25" xfId="147" applyNumberFormat="1" applyFont="1" applyFill="1" applyBorder="1" applyAlignment="1">
      <alignment horizontal="center" vertical="center" wrapText="1"/>
      <protection/>
    </xf>
    <xf numFmtId="49" fontId="19" fillId="0" borderId="20" xfId="147" applyNumberFormat="1" applyFont="1" applyFill="1" applyBorder="1" applyAlignment="1">
      <alignment horizontal="center" vertical="center"/>
      <protection/>
    </xf>
    <xf numFmtId="49" fontId="19" fillId="0" borderId="20" xfId="147" applyNumberFormat="1" applyFont="1" applyBorder="1" applyAlignment="1">
      <alignment horizontal="center" vertical="center"/>
      <protection/>
    </xf>
    <xf numFmtId="49" fontId="5" fillId="0" borderId="0" xfId="147" applyNumberFormat="1" applyFont="1" applyAlignment="1">
      <alignment vertical="center"/>
      <protection/>
    </xf>
    <xf numFmtId="3" fontId="29" fillId="3" borderId="20" xfId="147" applyNumberFormat="1" applyFont="1" applyFill="1" applyBorder="1" applyAlignment="1">
      <alignment horizontal="center" vertical="center"/>
      <protection/>
    </xf>
    <xf numFmtId="3" fontId="68" fillId="3" borderId="20" xfId="147" applyNumberFormat="1" applyFont="1" applyFill="1" applyBorder="1" applyAlignment="1">
      <alignment horizontal="center" vertical="center"/>
      <protection/>
    </xf>
    <xf numFmtId="3" fontId="29" fillId="4" borderId="20" xfId="147" applyNumberFormat="1" applyFont="1" applyFill="1" applyBorder="1" applyAlignment="1">
      <alignment horizontal="center" vertical="center"/>
      <protection/>
    </xf>
    <xf numFmtId="3" fontId="6" fillId="44" borderId="20" xfId="147" applyNumberFormat="1" applyFont="1" applyFill="1" applyBorder="1" applyAlignment="1">
      <alignment horizontal="center" vertical="center"/>
      <protection/>
    </xf>
    <xf numFmtId="49" fontId="6" fillId="0" borderId="20" xfId="147" applyNumberFormat="1" applyFont="1" applyBorder="1" applyAlignment="1">
      <alignment horizontal="center" vertical="center"/>
      <protection/>
    </xf>
    <xf numFmtId="3" fontId="5" fillId="47" borderId="20" xfId="147" applyNumberFormat="1" applyFont="1" applyFill="1" applyBorder="1" applyAlignment="1">
      <alignment horizontal="center" vertical="center"/>
      <protection/>
    </xf>
    <xf numFmtId="49" fontId="6" fillId="0" borderId="23" xfId="147" applyNumberFormat="1" applyFont="1" applyBorder="1" applyAlignment="1">
      <alignment horizontal="center" vertical="center"/>
      <protection/>
    </xf>
    <xf numFmtId="49" fontId="5" fillId="0" borderId="23" xfId="147" applyNumberFormat="1" applyFont="1" applyBorder="1" applyAlignment="1">
      <alignment horizontal="center" vertical="center"/>
      <protection/>
    </xf>
    <xf numFmtId="3" fontId="5" fillId="0" borderId="20" xfId="147" applyNumberFormat="1" applyFont="1" applyBorder="1" applyAlignment="1">
      <alignment horizontal="center" vertical="center"/>
      <protection/>
    </xf>
    <xf numFmtId="49" fontId="86" fillId="0" borderId="0" xfId="147" applyNumberFormat="1" applyFont="1">
      <alignment/>
      <protection/>
    </xf>
    <xf numFmtId="49" fontId="26" fillId="0" borderId="0" xfId="147" applyNumberFormat="1">
      <alignment/>
      <protection/>
    </xf>
    <xf numFmtId="49" fontId="28" fillId="0" borderId="0" xfId="147" applyNumberFormat="1" applyFont="1" applyBorder="1" applyAlignment="1">
      <alignment wrapText="1"/>
      <protection/>
    </xf>
    <xf numFmtId="49" fontId="21" fillId="0" borderId="0" xfId="147" applyNumberFormat="1" applyFont="1">
      <alignment/>
      <protection/>
    </xf>
    <xf numFmtId="49" fontId="30" fillId="0" borderId="0" xfId="147" applyNumberFormat="1" applyFont="1">
      <alignment/>
      <protection/>
    </xf>
    <xf numFmtId="49" fontId="30" fillId="0" borderId="0" xfId="147" applyNumberFormat="1" applyFont="1" applyAlignment="1">
      <alignment horizontal="center"/>
      <protection/>
    </xf>
    <xf numFmtId="0" fontId="4" fillId="0" borderId="0" xfId="147" applyNumberFormat="1" applyFont="1" applyAlignment="1">
      <alignment horizontal="left"/>
      <protection/>
    </xf>
    <xf numFmtId="0" fontId="5" fillId="0" borderId="0" xfId="147" applyFont="1" applyAlignment="1">
      <alignment/>
      <protection/>
    </xf>
    <xf numFmtId="3" fontId="5" fillId="0" borderId="0" xfId="147" applyNumberFormat="1" applyFont="1">
      <alignment/>
      <protection/>
    </xf>
    <xf numFmtId="0" fontId="7" fillId="0" borderId="0" xfId="147" applyFont="1" applyBorder="1" applyAlignment="1">
      <alignment/>
      <protection/>
    </xf>
    <xf numFmtId="0" fontId="26" fillId="0" borderId="24" xfId="147" applyFont="1" applyBorder="1">
      <alignment/>
      <protection/>
    </xf>
    <xf numFmtId="0" fontId="26" fillId="0" borderId="0" xfId="147" applyFont="1" applyBorder="1">
      <alignment/>
      <protection/>
    </xf>
    <xf numFmtId="0" fontId="12" fillId="0" borderId="20" xfId="147" applyFont="1" applyBorder="1" applyAlignment="1">
      <alignment horizontal="center" vertical="center" wrapText="1"/>
      <protection/>
    </xf>
    <xf numFmtId="0" fontId="19" fillId="0" borderId="23" xfId="147" applyFont="1" applyFill="1" applyBorder="1" applyAlignment="1">
      <alignment horizontal="center" vertical="center"/>
      <protection/>
    </xf>
    <xf numFmtId="0" fontId="19" fillId="0" borderId="20" xfId="147" applyFont="1" applyFill="1" applyBorder="1" applyAlignment="1">
      <alignment horizontal="center" vertical="center"/>
      <protection/>
    </xf>
    <xf numFmtId="0" fontId="19" fillId="0" borderId="20" xfId="147" applyFont="1" applyBorder="1" applyAlignment="1">
      <alignment horizontal="center" vertical="center"/>
      <protection/>
    </xf>
    <xf numFmtId="3" fontId="20" fillId="3" borderId="20" xfId="147" applyNumberFormat="1" applyFont="1" applyFill="1" applyBorder="1" applyAlignment="1">
      <alignment horizontal="center" vertical="center"/>
      <protection/>
    </xf>
    <xf numFmtId="3" fontId="34" fillId="3" borderId="20" xfId="147" applyNumberFormat="1" applyFont="1" applyFill="1" applyBorder="1" applyAlignment="1">
      <alignment horizontal="center" vertical="center"/>
      <protection/>
    </xf>
    <xf numFmtId="3" fontId="3"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6"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28" fillId="0" borderId="0" xfId="147" applyNumberFormat="1" applyFont="1" applyBorder="1" applyAlignment="1">
      <alignment/>
      <protection/>
    </xf>
    <xf numFmtId="0" fontId="87" fillId="0" borderId="0" xfId="147" applyFont="1">
      <alignment/>
      <protection/>
    </xf>
    <xf numFmtId="0" fontId="16" fillId="0" borderId="0" xfId="147" applyFont="1">
      <alignment/>
      <protection/>
    </xf>
    <xf numFmtId="0" fontId="27" fillId="0" borderId="0" xfId="147" applyFont="1">
      <alignment/>
      <protection/>
    </xf>
    <xf numFmtId="0" fontId="13" fillId="0" borderId="0" xfId="147" applyFont="1">
      <alignment/>
      <protection/>
    </xf>
    <xf numFmtId="49" fontId="13" fillId="0" borderId="0" xfId="147" applyNumberFormat="1" applyFont="1">
      <alignment/>
      <protection/>
    </xf>
    <xf numFmtId="0" fontId="80" fillId="0" borderId="0" xfId="147" applyFont="1">
      <alignment/>
      <protection/>
    </xf>
    <xf numFmtId="49" fontId="18" fillId="0" borderId="0" xfId="147" applyNumberFormat="1" applyFont="1" applyBorder="1" applyAlignment="1">
      <alignment/>
      <protection/>
    </xf>
    <xf numFmtId="49" fontId="26" fillId="0" borderId="0" xfId="147" applyNumberFormat="1" applyFont="1" applyAlignment="1">
      <alignment horizontal="center"/>
      <protection/>
    </xf>
    <xf numFmtId="3" fontId="19" fillId="47" borderId="22" xfId="147" applyNumberFormat="1" applyFont="1" applyFill="1" applyBorder="1" applyAlignment="1">
      <alignment horizontal="center"/>
      <protection/>
    </xf>
    <xf numFmtId="49" fontId="5" fillId="0" borderId="22" xfId="147" applyNumberFormat="1" applyFont="1" applyBorder="1" applyAlignment="1">
      <alignment/>
      <protection/>
    </xf>
    <xf numFmtId="49" fontId="26" fillId="0" borderId="0" xfId="147" applyNumberFormat="1" applyFill="1">
      <alignment/>
      <protection/>
    </xf>
    <xf numFmtId="49" fontId="26" fillId="0" borderId="0" xfId="147" applyNumberFormat="1" applyFill="1" applyAlignment="1">
      <alignment vertical="center" wrapText="1"/>
      <protection/>
    </xf>
    <xf numFmtId="49" fontId="26" fillId="0" borderId="0" xfId="147" applyNumberFormat="1" applyAlignment="1">
      <alignment vertical="center"/>
      <protection/>
    </xf>
    <xf numFmtId="3" fontId="5" fillId="44" borderId="20" xfId="147" applyNumberFormat="1" applyFont="1" applyFill="1" applyBorder="1" applyAlignment="1">
      <alignment horizontal="center" vertical="center"/>
      <protection/>
    </xf>
    <xf numFmtId="3" fontId="26" fillId="0" borderId="20" xfId="147" applyNumberFormat="1" applyFont="1" applyBorder="1" applyAlignment="1">
      <alignment horizontal="center" vertical="center"/>
      <protection/>
    </xf>
    <xf numFmtId="0" fontId="5" fillId="0" borderId="20" xfId="147" applyFont="1" applyBorder="1" applyAlignment="1">
      <alignment horizontal="center" vertical="center"/>
      <protection/>
    </xf>
    <xf numFmtId="3" fontId="5" fillId="0" borderId="20" xfId="147" applyNumberFormat="1" applyFont="1" applyFill="1" applyBorder="1" applyAlignment="1">
      <alignment horizontal="center" vertical="center"/>
      <protection/>
    </xf>
    <xf numFmtId="3" fontId="26" fillId="0" borderId="20" xfId="147" applyNumberFormat="1" applyFont="1" applyFill="1" applyBorder="1" applyAlignment="1">
      <alignment horizontal="center" vertical="center"/>
      <protection/>
    </xf>
    <xf numFmtId="49" fontId="26" fillId="0" borderId="0" xfId="147" applyNumberFormat="1" applyAlignment="1">
      <alignment horizontal="center"/>
      <protection/>
    </xf>
    <xf numFmtId="49" fontId="71" fillId="0" borderId="0" xfId="147" applyNumberFormat="1" applyFont="1" applyAlignment="1">
      <alignment horizontal="left"/>
      <protection/>
    </xf>
    <xf numFmtId="49" fontId="30" fillId="0" borderId="0" xfId="147" applyNumberFormat="1" applyFont="1" applyAlignment="1">
      <alignment/>
      <protection/>
    </xf>
    <xf numFmtId="49" fontId="3" fillId="47" borderId="0" xfId="147" applyNumberFormat="1" applyFont="1" applyFill="1" applyBorder="1" applyAlignment="1">
      <alignment/>
      <protection/>
    </xf>
    <xf numFmtId="49" fontId="3" fillId="0" borderId="0" xfId="147" applyNumberFormat="1" applyFont="1" applyAlignment="1">
      <alignment/>
      <protection/>
    </xf>
    <xf numFmtId="49" fontId="3" fillId="0" borderId="0" xfId="147" applyNumberFormat="1" applyFont="1" applyBorder="1" applyAlignment="1">
      <alignment/>
      <protection/>
    </xf>
    <xf numFmtId="49" fontId="6" fillId="0" borderId="22" xfId="147" applyNumberFormat="1" applyFont="1" applyBorder="1" applyAlignment="1">
      <alignment/>
      <protection/>
    </xf>
    <xf numFmtId="3" fontId="19" fillId="0" borderId="20" xfId="147" applyNumberFormat="1" applyFont="1" applyBorder="1" applyAlignment="1">
      <alignment horizontal="center" vertical="center"/>
      <protection/>
    </xf>
    <xf numFmtId="49" fontId="26" fillId="47" borderId="0" xfId="147" applyNumberFormat="1" applyFont="1" applyFill="1" applyAlignment="1">
      <alignment vertical="center"/>
      <protection/>
    </xf>
    <xf numFmtId="3" fontId="26" fillId="47" borderId="20" xfId="147" applyNumberFormat="1" applyFont="1" applyFill="1" applyBorder="1" applyAlignment="1">
      <alignment horizontal="center" vertical="center"/>
      <protection/>
    </xf>
    <xf numFmtId="3" fontId="90" fillId="0" borderId="20" xfId="147" applyNumberFormat="1" applyFont="1" applyBorder="1" applyAlignment="1">
      <alignment horizontal="center" vertical="center"/>
      <protection/>
    </xf>
    <xf numFmtId="0" fontId="5" fillId="0" borderId="19" xfId="147" applyFont="1" applyFill="1" applyBorder="1" applyAlignment="1">
      <alignment horizontal="center" vertical="center"/>
      <protection/>
    </xf>
    <xf numFmtId="49" fontId="6" fillId="0" borderId="19" xfId="145" applyNumberFormat="1" applyFont="1" applyFill="1" applyBorder="1" applyAlignment="1">
      <alignment horizontal="left" vertical="center"/>
      <protection/>
    </xf>
    <xf numFmtId="3" fontId="5" fillId="0" borderId="19" xfId="147" applyNumberFormat="1" applyFont="1" applyFill="1" applyBorder="1" applyAlignment="1">
      <alignment horizontal="center" vertical="center"/>
      <protection/>
    </xf>
    <xf numFmtId="3" fontId="19" fillId="0" borderId="19" xfId="147" applyNumberFormat="1" applyFont="1" applyFill="1" applyBorder="1" applyAlignment="1">
      <alignment horizontal="center" vertical="center"/>
      <protection/>
    </xf>
    <xf numFmtId="3" fontId="26" fillId="0" borderId="19" xfId="147" applyNumberFormat="1" applyFont="1" applyFill="1" applyBorder="1" applyAlignment="1">
      <alignment vertical="center"/>
      <protection/>
    </xf>
    <xf numFmtId="3" fontId="91" fillId="0" borderId="19" xfId="147" applyNumberFormat="1" applyFont="1" applyFill="1" applyBorder="1" applyAlignment="1">
      <alignment vertical="center"/>
      <protection/>
    </xf>
    <xf numFmtId="49" fontId="30" fillId="0" borderId="0" xfId="147" applyNumberFormat="1" applyFont="1" applyBorder="1" applyAlignment="1">
      <alignment/>
      <protection/>
    </xf>
    <xf numFmtId="49" fontId="28" fillId="0" borderId="0" xfId="147" applyNumberFormat="1" applyFont="1" applyBorder="1" applyAlignment="1">
      <alignment horizontal="center"/>
      <protection/>
    </xf>
    <xf numFmtId="49" fontId="28" fillId="0" borderId="0" xfId="147" applyNumberFormat="1" applyFont="1" applyAlignment="1">
      <alignment/>
      <protection/>
    </xf>
    <xf numFmtId="0" fontId="5" fillId="47" borderId="0" xfId="147" applyFont="1" applyFill="1" applyBorder="1" applyAlignment="1">
      <alignment/>
      <protection/>
    </xf>
    <xf numFmtId="49" fontId="92" fillId="0" borderId="0" xfId="147" applyNumberFormat="1" applyFont="1">
      <alignment/>
      <protection/>
    </xf>
    <xf numFmtId="49" fontId="93" fillId="0" borderId="0" xfId="147" applyNumberFormat="1" applyFont="1">
      <alignment/>
      <protection/>
    </xf>
    <xf numFmtId="49" fontId="94" fillId="0" borderId="0" xfId="147" applyNumberFormat="1" applyFont="1" applyAlignment="1">
      <alignment horizontal="center"/>
      <protection/>
    </xf>
    <xf numFmtId="49" fontId="25" fillId="47" borderId="0" xfId="145" applyNumberFormat="1" applyFont="1" applyFill="1" applyAlignment="1">
      <alignment/>
      <protection/>
    </xf>
    <xf numFmtId="49" fontId="79" fillId="0" borderId="0" xfId="147" applyNumberFormat="1" applyFont="1">
      <alignment/>
      <protection/>
    </xf>
    <xf numFmtId="49" fontId="30" fillId="0" borderId="0" xfId="147" applyNumberFormat="1" applyFont="1" applyBorder="1" applyAlignment="1">
      <alignment wrapText="1"/>
      <protection/>
    </xf>
    <xf numFmtId="49" fontId="82" fillId="0" borderId="0" xfId="147" applyNumberFormat="1" applyFont="1">
      <alignment/>
      <protection/>
    </xf>
    <xf numFmtId="49" fontId="77" fillId="0" borderId="0" xfId="147" applyNumberFormat="1" applyFont="1">
      <alignment/>
      <protection/>
    </xf>
    <xf numFmtId="49" fontId="14"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3" fillId="0" borderId="0" xfId="147" applyNumberFormat="1" applyFont="1" applyFill="1" applyBorder="1" applyAlignment="1">
      <alignment/>
      <protection/>
    </xf>
    <xf numFmtId="49" fontId="95" fillId="0" borderId="0" xfId="147" applyNumberFormat="1" applyFont="1" applyFill="1">
      <alignment/>
      <protection/>
    </xf>
    <xf numFmtId="49" fontId="26" fillId="0" borderId="0" xfId="147" applyNumberFormat="1" applyFont="1" applyFill="1" applyAlignment="1">
      <alignment horizontal="center"/>
      <protection/>
    </xf>
    <xf numFmtId="49" fontId="19" fillId="0" borderId="0" xfId="147" applyNumberFormat="1" applyFont="1" applyFill="1" applyBorder="1" applyAlignment="1">
      <alignment/>
      <protection/>
    </xf>
    <xf numFmtId="49" fontId="6" fillId="0" borderId="0" xfId="147" applyNumberFormat="1" applyFont="1" applyFill="1" applyBorder="1" applyAlignment="1">
      <alignment/>
      <protection/>
    </xf>
    <xf numFmtId="49" fontId="81" fillId="0" borderId="0" xfId="147" applyNumberFormat="1" applyFont="1" applyFill="1">
      <alignment/>
      <protection/>
    </xf>
    <xf numFmtId="49" fontId="81" fillId="0" borderId="0" xfId="147" applyNumberFormat="1" applyFont="1" applyFill="1" applyAlignment="1">
      <alignment/>
      <protection/>
    </xf>
    <xf numFmtId="49" fontId="19" fillId="0" borderId="27" xfId="147" applyNumberFormat="1" applyFont="1" applyFill="1" applyBorder="1" applyAlignment="1">
      <alignment horizontal="center" vertical="center"/>
      <protection/>
    </xf>
    <xf numFmtId="3" fontId="6" fillId="44" borderId="27" xfId="147" applyNumberFormat="1" applyFont="1" applyFill="1" applyBorder="1" applyAlignment="1">
      <alignment horizontal="center" vertical="center"/>
      <protection/>
    </xf>
    <xf numFmtId="3" fontId="6" fillId="44" borderId="23" xfId="147" applyNumberFormat="1" applyFont="1" applyFill="1" applyBorder="1" applyAlignment="1">
      <alignment horizontal="center" vertical="center"/>
      <protection/>
    </xf>
    <xf numFmtId="49" fontId="3" fillId="0" borderId="0" xfId="147" applyNumberFormat="1" applyFont="1" applyAlignment="1">
      <alignment horizontal="center"/>
      <protection/>
    </xf>
    <xf numFmtId="49" fontId="25" fillId="0" borderId="0" xfId="147" applyNumberFormat="1" applyFont="1">
      <alignment/>
      <protection/>
    </xf>
    <xf numFmtId="49" fontId="3" fillId="0" borderId="0" xfId="147" applyNumberFormat="1" applyFont="1">
      <alignment/>
      <protection/>
    </xf>
    <xf numFmtId="49" fontId="28" fillId="0" borderId="0" xfId="147" applyNumberFormat="1" applyFont="1">
      <alignment/>
      <protection/>
    </xf>
    <xf numFmtId="3" fontId="3" fillId="47" borderId="0" xfId="147" applyNumberFormat="1" applyFont="1" applyFill="1" applyBorder="1" applyAlignment="1">
      <alignment/>
      <protection/>
    </xf>
    <xf numFmtId="0" fontId="3" fillId="0" borderId="0" xfId="147" applyFont="1">
      <alignment/>
      <protection/>
    </xf>
    <xf numFmtId="0" fontId="4" fillId="0" borderId="0" xfId="147" applyFont="1" applyBorder="1" applyAlignment="1">
      <alignment horizontal="left"/>
      <protection/>
    </xf>
    <xf numFmtId="3" fontId="0" fillId="0" borderId="0" xfId="147" applyNumberFormat="1" applyFont="1" applyAlignment="1">
      <alignment horizontal="left"/>
      <protection/>
    </xf>
    <xf numFmtId="0" fontId="13" fillId="0" borderId="0" xfId="147" applyFont="1" applyBorder="1" applyAlignment="1">
      <alignment/>
      <protection/>
    </xf>
    <xf numFmtId="0" fontId="7" fillId="0" borderId="20" xfId="147" applyFont="1" applyFill="1" applyBorder="1" applyAlignment="1">
      <alignment horizontal="center" vertical="center" wrapText="1"/>
      <protection/>
    </xf>
    <xf numFmtId="0" fontId="3" fillId="0" borderId="0" xfId="147" applyFont="1" applyFill="1" applyBorder="1">
      <alignment/>
      <protection/>
    </xf>
    <xf numFmtId="0" fontId="3" fillId="0" borderId="0" xfId="147" applyFont="1" applyFill="1">
      <alignment/>
      <protection/>
    </xf>
    <xf numFmtId="3" fontId="18"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4" fillId="44" borderId="20" xfId="147" applyNumberFormat="1" applyFont="1" applyFill="1" applyBorder="1" applyAlignment="1">
      <alignment horizontal="center" vertical="center"/>
      <protection/>
    </xf>
    <xf numFmtId="0" fontId="3" fillId="0" borderId="0" xfId="147" applyFont="1" applyAlignment="1">
      <alignment vertical="center"/>
      <protection/>
    </xf>
    <xf numFmtId="9" fontId="3" fillId="0" borderId="0" xfId="154" applyFont="1" applyAlignment="1">
      <alignment vertical="center"/>
    </xf>
    <xf numFmtId="0" fontId="3" fillId="0" borderId="0" xfId="147" applyFont="1" applyAlignment="1">
      <alignment horizontal="center"/>
      <protection/>
    </xf>
    <xf numFmtId="0" fontId="25" fillId="0" borderId="0" xfId="147" applyFont="1">
      <alignment/>
      <protection/>
    </xf>
    <xf numFmtId="0" fontId="71" fillId="0" borderId="0" xfId="147" applyFont="1" applyAlignment="1">
      <alignment horizontal="center"/>
      <protection/>
    </xf>
    <xf numFmtId="49" fontId="51" fillId="0" borderId="0" xfId="147" applyNumberFormat="1" applyFont="1">
      <alignment/>
      <protection/>
    </xf>
    <xf numFmtId="49" fontId="96" fillId="0" borderId="0" xfId="147" applyNumberFormat="1" applyFont="1" applyBorder="1" applyAlignment="1">
      <alignment wrapText="1"/>
      <protection/>
    </xf>
    <xf numFmtId="0" fontId="30"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43"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43"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43" applyNumberFormat="1" applyFont="1" applyFill="1" applyBorder="1" applyAlignment="1" applyProtection="1">
      <alignment horizontal="center" vertical="center"/>
      <protection/>
    </xf>
    <xf numFmtId="10" fontId="28" fillId="0" borderId="20" xfId="135" applyNumberFormat="1" applyFont="1" applyFill="1" applyBorder="1" applyAlignment="1">
      <alignment horizontal="center" vertical="center"/>
      <protection/>
    </xf>
    <xf numFmtId="10" fontId="51"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5" applyNumberFormat="1" applyFont="1" applyFill="1" applyBorder="1" applyAlignment="1">
      <alignment horizontal="center" vertical="center"/>
      <protection/>
    </xf>
    <xf numFmtId="3" fontId="56" fillId="47" borderId="20" xfId="143"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43" applyNumberFormat="1" applyFont="1" applyFill="1" applyBorder="1" applyAlignment="1" applyProtection="1">
      <alignment horizontal="center" vertical="center"/>
      <protection/>
    </xf>
    <xf numFmtId="10" fontId="56"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43" applyNumberFormat="1" applyFont="1" applyFill="1" applyBorder="1" applyAlignment="1" applyProtection="1">
      <alignment horizontal="center" vertical="center"/>
      <protection/>
    </xf>
    <xf numFmtId="3" fontId="4" fillId="47" borderId="37" xfId="143"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53" fillId="49" borderId="20" xfId="0" applyFont="1" applyFill="1" applyBorder="1" applyAlignment="1">
      <alignment/>
    </xf>
    <xf numFmtId="0" fontId="0" fillId="49" borderId="38" xfId="0" applyFont="1" applyFill="1" applyBorder="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144"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vertical="center"/>
      <protection/>
    </xf>
    <xf numFmtId="3" fontId="154" fillId="0" borderId="0" xfId="0" applyNumberFormat="1" applyFont="1" applyFill="1" applyAlignment="1">
      <alignment wrapText="1"/>
    </xf>
    <xf numFmtId="0" fontId="154" fillId="0" borderId="0" xfId="0" applyNumberFormat="1" applyFont="1" applyFill="1" applyAlignment="1">
      <alignment/>
    </xf>
    <xf numFmtId="3" fontId="154" fillId="0" borderId="0" xfId="0" applyNumberFormat="1" applyFont="1" applyFill="1" applyAlignment="1">
      <alignment/>
    </xf>
    <xf numFmtId="0" fontId="155" fillId="0" borderId="0" xfId="0" applyNumberFormat="1" applyFont="1" applyFill="1" applyAlignment="1">
      <alignment horizontal="center"/>
    </xf>
    <xf numFmtId="0" fontId="100" fillId="0" borderId="0" xfId="0" applyNumberFormat="1" applyFont="1" applyFill="1" applyAlignment="1">
      <alignment/>
    </xf>
    <xf numFmtId="0" fontId="156" fillId="0" borderId="0" xfId="0" applyNumberFormat="1" applyFont="1" applyFill="1" applyAlignment="1">
      <alignment horizontal="center"/>
    </xf>
    <xf numFmtId="3" fontId="153" fillId="0" borderId="0" xfId="0" applyNumberFormat="1" applyFont="1" applyFill="1" applyAlignment="1">
      <alignment/>
    </xf>
    <xf numFmtId="3" fontId="28"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104" fillId="0" borderId="20" xfId="0" applyNumberFormat="1" applyFont="1" applyFill="1" applyBorder="1" applyAlignment="1" applyProtection="1">
      <alignment horizontal="center" vertical="center" wrapText="1"/>
      <protection/>
    </xf>
    <xf numFmtId="49" fontId="104" fillId="0" borderId="20" xfId="0" applyNumberFormat="1" applyFont="1" applyFill="1" applyBorder="1" applyAlignment="1">
      <alignment horizontal="center" vertical="center" wrapText="1"/>
    </xf>
    <xf numFmtId="49" fontId="106" fillId="0" borderId="20" xfId="0" applyNumberFormat="1" applyFont="1" applyFill="1" applyBorder="1" applyAlignment="1" applyProtection="1">
      <alignment horizontal="center" vertical="center"/>
      <protection/>
    </xf>
    <xf numFmtId="194" fontId="103" fillId="50" borderId="20" xfId="0" applyNumberFormat="1" applyFont="1" applyFill="1" applyBorder="1" applyAlignment="1" applyProtection="1">
      <alignment horizontal="right" vertical="center"/>
      <protection/>
    </xf>
    <xf numFmtId="194" fontId="157" fillId="50" borderId="20" xfId="0" applyNumberFormat="1" applyFont="1" applyFill="1" applyBorder="1" applyAlignment="1">
      <alignment horizontal="right"/>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49" fontId="100" fillId="0" borderId="0" xfId="0" applyNumberFormat="1" applyFont="1" applyFill="1" applyBorder="1" applyAlignment="1" applyProtection="1">
      <alignment horizontal="center" vertical="center" wrapText="1"/>
      <protection/>
    </xf>
    <xf numFmtId="49" fontId="108" fillId="0" borderId="21" xfId="0" applyNumberFormat="1" applyFont="1" applyFill="1" applyBorder="1" applyAlignment="1" applyProtection="1">
      <alignment horizontal="center" vertical="center"/>
      <protection/>
    </xf>
    <xf numFmtId="194" fontId="154" fillId="50" borderId="20" xfId="0" applyNumberFormat="1" applyFont="1" applyFill="1" applyBorder="1" applyAlignment="1" applyProtection="1">
      <alignment horizontal="right" vertical="center"/>
      <protection/>
    </xf>
    <xf numFmtId="10" fontId="100" fillId="0" borderId="20" xfId="157" applyNumberFormat="1" applyFont="1" applyFill="1" applyBorder="1" applyAlignment="1">
      <alignment/>
    </xf>
    <xf numFmtId="3" fontId="100" fillId="0" borderId="20" xfId="135" applyNumberFormat="1" applyFont="1" applyFill="1" applyBorder="1">
      <alignment/>
      <protection/>
    </xf>
    <xf numFmtId="194" fontId="154" fillId="50" borderId="20" xfId="0" applyNumberFormat="1" applyFont="1" applyFill="1" applyBorder="1" applyAlignment="1">
      <alignment horizontal="right" vertical="center"/>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56" fillId="0" borderId="0" xfId="0" applyNumberFormat="1" applyFont="1" applyFill="1" applyAlignment="1">
      <alignment/>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158" fillId="50" borderId="20" xfId="0" applyNumberFormat="1" applyFont="1" applyFill="1" applyBorder="1" applyAlignment="1" applyProtection="1">
      <alignment horizontal="right" vertical="center"/>
      <protection/>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3" fontId="4" fillId="0" borderId="0" xfId="0" applyNumberFormat="1" applyFont="1" applyFill="1" applyAlignment="1">
      <alignment/>
    </xf>
    <xf numFmtId="194" fontId="159" fillId="0" borderId="0" xfId="0" applyNumberFormat="1" applyFont="1" applyFill="1" applyAlignment="1">
      <alignment horizontal="center"/>
    </xf>
    <xf numFmtId="3" fontId="159" fillId="0" borderId="0" xfId="0" applyNumberFormat="1" applyFont="1" applyFill="1" applyAlignment="1">
      <alignment horizontal="center"/>
    </xf>
    <xf numFmtId="3"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3" fontId="4" fillId="0" borderId="20" xfId="0" applyNumberFormat="1" applyFont="1" applyFill="1" applyBorder="1" applyAlignment="1">
      <alignment horizontal="center" wrapText="1"/>
    </xf>
    <xf numFmtId="3" fontId="159" fillId="0" borderId="20" xfId="0" applyNumberFormat="1" applyFont="1" applyFill="1" applyBorder="1" applyAlignment="1">
      <alignment horizontal="center" wrapText="1"/>
    </xf>
    <xf numFmtId="3" fontId="158" fillId="0" borderId="20" xfId="0" applyNumberFormat="1" applyFont="1" applyFill="1" applyBorder="1" applyAlignment="1">
      <alignment/>
    </xf>
    <xf numFmtId="3" fontId="8" fillId="0" borderId="20" xfId="0" applyNumberFormat="1" applyFont="1" applyFill="1" applyBorder="1" applyAlignment="1">
      <alignment/>
    </xf>
    <xf numFmtId="210" fontId="153" fillId="47" borderId="20" xfId="0" applyNumberFormat="1" applyFont="1" applyFill="1" applyBorder="1" applyAlignment="1">
      <alignment vertical="center"/>
    </xf>
    <xf numFmtId="3" fontId="4" fillId="0" borderId="20" xfId="0" applyNumberFormat="1" applyFont="1" applyFill="1" applyBorder="1" applyAlignment="1">
      <alignment/>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0" fontId="156" fillId="0" borderId="0" xfId="0" applyNumberFormat="1" applyFont="1" applyFill="1" applyAlignment="1">
      <alignment horizontal="center"/>
    </xf>
    <xf numFmtId="194" fontId="157" fillId="50" borderId="20" xfId="0" applyNumberFormat="1" applyFont="1" applyFill="1" applyBorder="1" applyAlignment="1" applyProtection="1">
      <alignment horizontal="right" vertical="center"/>
      <protection/>
    </xf>
    <xf numFmtId="49" fontId="104" fillId="0" borderId="0" xfId="0" applyNumberFormat="1" applyFont="1" applyFill="1" applyBorder="1" applyAlignment="1" applyProtection="1">
      <alignment horizontal="center" vertical="center" wrapText="1"/>
      <protection/>
    </xf>
    <xf numFmtId="49" fontId="5" fillId="0" borderId="20" xfId="0" applyNumberFormat="1" applyFont="1" applyFill="1" applyBorder="1" applyAlignment="1">
      <alignment/>
    </xf>
    <xf numFmtId="1" fontId="5" fillId="47" borderId="20" xfId="0" applyNumberFormat="1" applyFont="1" applyFill="1" applyBorder="1" applyAlignment="1" applyProtection="1">
      <alignment horizontal="center" vertical="center"/>
      <protection/>
    </xf>
    <xf numFmtId="1" fontId="5" fillId="47" borderId="20" xfId="157"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194" fontId="155" fillId="50" borderId="20" xfId="0" applyNumberFormat="1" applyFont="1" applyFill="1" applyBorder="1" applyAlignment="1" applyProtection="1">
      <alignment horizontal="right" vertical="center"/>
      <protection/>
    </xf>
    <xf numFmtId="194" fontId="155" fillId="50" borderId="20" xfId="0" applyNumberFormat="1" applyFont="1" applyFill="1" applyBorder="1" applyAlignment="1">
      <alignment horizontal="right" vertical="center"/>
    </xf>
    <xf numFmtId="10" fontId="5" fillId="0" borderId="20" xfId="157" applyNumberFormat="1" applyFont="1" applyFill="1" applyBorder="1" applyAlignment="1">
      <alignment/>
    </xf>
    <xf numFmtId="3" fontId="5" fillId="0" borderId="20" xfId="135" applyNumberFormat="1" applyFont="1" applyFill="1" applyBorder="1">
      <alignment/>
      <protection/>
    </xf>
    <xf numFmtId="194" fontId="5" fillId="50" borderId="20" xfId="0" applyNumberFormat="1" applyFont="1" applyFill="1" applyBorder="1" applyAlignment="1" applyProtection="1">
      <alignment horizontal="right" vertical="center"/>
      <protection/>
    </xf>
    <xf numFmtId="210" fontId="5" fillId="50" borderId="20" xfId="0" applyNumberFormat="1" applyFont="1" applyFill="1" applyBorder="1" applyAlignment="1">
      <alignment horizontal="right" vertical="center"/>
    </xf>
    <xf numFmtId="10" fontId="103" fillId="0" borderId="20" xfId="157" applyNumberFormat="1" applyFont="1" applyFill="1" applyBorder="1" applyAlignment="1">
      <alignment/>
    </xf>
    <xf numFmtId="49" fontId="8" fillId="0" borderId="20" xfId="0" applyNumberFormat="1" applyFont="1" applyFill="1" applyBorder="1" applyAlignment="1" applyProtection="1">
      <alignment/>
      <protection locked="0"/>
    </xf>
    <xf numFmtId="3" fontId="5" fillId="47" borderId="20" xfId="0" applyNumberFormat="1" applyFont="1" applyFill="1" applyBorder="1" applyAlignment="1" applyProtection="1">
      <alignment horizontal="center" vertical="center"/>
      <protection/>
    </xf>
    <xf numFmtId="3" fontId="5" fillId="47" borderId="20" xfId="157" applyNumberFormat="1" applyFont="1" applyFill="1" applyBorder="1" applyAlignment="1" applyProtection="1">
      <alignment horizontal="center" vertical="center"/>
      <protection/>
    </xf>
    <xf numFmtId="0" fontId="100" fillId="0" borderId="0" xfId="135" applyFont="1" applyFill="1" applyBorder="1" applyAlignment="1">
      <alignment horizontal="center" vertical="center" wrapText="1"/>
      <protection/>
    </xf>
    <xf numFmtId="0" fontId="100" fillId="0" borderId="20" xfId="135" applyFont="1" applyFill="1" applyBorder="1" applyAlignment="1">
      <alignment horizontal="center" vertical="center" wrapText="1"/>
      <protection/>
    </xf>
    <xf numFmtId="3" fontId="5" fillId="47" borderId="20" xfId="0" applyNumberFormat="1" applyFont="1" applyFill="1" applyBorder="1" applyAlignment="1">
      <alignment horizontal="center" vertical="center"/>
    </xf>
    <xf numFmtId="3" fontId="103" fillId="47" borderId="20" xfId="0" applyNumberFormat="1" applyFont="1" applyFill="1" applyBorder="1" applyAlignment="1">
      <alignment horizontal="center" vertical="center"/>
    </xf>
    <xf numFmtId="3" fontId="103" fillId="0" borderId="20" xfId="0" applyNumberFormat="1" applyFont="1" applyFill="1" applyBorder="1" applyAlignment="1" applyProtection="1">
      <alignment/>
      <protection locked="0"/>
    </xf>
    <xf numFmtId="49" fontId="5" fillId="0" borderId="20" xfId="0" applyNumberFormat="1" applyFont="1" applyFill="1" applyBorder="1" applyAlignment="1" applyProtection="1">
      <alignment horizontal="right"/>
      <protection locked="0"/>
    </xf>
    <xf numFmtId="3" fontId="155" fillId="0" borderId="0" xfId="0" applyNumberFormat="1" applyFont="1" applyFill="1" applyAlignment="1">
      <alignment/>
    </xf>
    <xf numFmtId="49" fontId="4" fillId="0" borderId="20" xfId="0" applyNumberFormat="1" applyFont="1" applyFill="1" applyBorder="1" applyAlignment="1" applyProtection="1">
      <alignment horizontal="center" vertical="center"/>
      <protection locked="0"/>
    </xf>
    <xf numFmtId="3" fontId="103" fillId="0" borderId="20" xfId="0" applyNumberFormat="1" applyFont="1" applyFill="1" applyBorder="1" applyAlignment="1" applyProtection="1">
      <alignment horizontal="center" vertical="center"/>
      <protection locked="0"/>
    </xf>
    <xf numFmtId="216" fontId="103" fillId="0" borderId="20" xfId="0" applyNumberFormat="1" applyFont="1" applyFill="1" applyBorder="1" applyAlignment="1" applyProtection="1">
      <alignment horizontal="center" vertical="center"/>
      <protection locked="0"/>
    </xf>
    <xf numFmtId="194" fontId="5" fillId="0" borderId="20" xfId="99" applyNumberFormat="1" applyFont="1" applyBorder="1" applyAlignment="1" applyProtection="1">
      <alignment/>
      <protection locked="0"/>
    </xf>
    <xf numFmtId="194" fontId="109" fillId="47" borderId="20" xfId="99" applyNumberFormat="1" applyFont="1" applyFill="1" applyBorder="1" applyAlignment="1">
      <alignment horizontal="center"/>
    </xf>
    <xf numFmtId="49" fontId="4" fillId="0" borderId="20" xfId="0" applyNumberFormat="1" applyFont="1" applyFill="1" applyBorder="1" applyAlignment="1" applyProtection="1">
      <alignment/>
      <protection locked="0"/>
    </xf>
    <xf numFmtId="3" fontId="154" fillId="0" borderId="20" xfId="135" applyNumberFormat="1" applyFont="1" applyFill="1" applyBorder="1">
      <alignment/>
      <protection/>
    </xf>
    <xf numFmtId="43" fontId="8" fillId="0" borderId="20" xfId="99" applyFont="1" applyFill="1" applyBorder="1" applyAlignment="1" applyProtection="1">
      <alignment/>
      <protection locked="0"/>
    </xf>
    <xf numFmtId="210" fontId="155" fillId="47" borderId="20" xfId="0" applyNumberFormat="1" applyFont="1" applyFill="1" applyBorder="1" applyAlignment="1">
      <alignment horizontal="center" vertical="center"/>
    </xf>
    <xf numFmtId="210" fontId="155" fillId="47" borderId="25" xfId="0" applyNumberFormat="1" applyFont="1" applyFill="1" applyBorder="1" applyAlignment="1">
      <alignment horizontal="center" vertical="center"/>
    </xf>
    <xf numFmtId="194" fontId="158" fillId="0" borderId="20" xfId="0" applyNumberFormat="1" applyFont="1" applyFill="1" applyBorder="1" applyAlignment="1">
      <alignment/>
    </xf>
    <xf numFmtId="3" fontId="153" fillId="0" borderId="20" xfId="0" applyNumberFormat="1" applyFont="1" applyFill="1" applyBorder="1" applyAlignment="1">
      <alignment/>
    </xf>
    <xf numFmtId="49" fontId="0" fillId="0" borderId="20" xfId="0" applyNumberFormat="1" applyFont="1" applyFill="1" applyBorder="1" applyAlignment="1">
      <alignment vertical="center"/>
    </xf>
    <xf numFmtId="3" fontId="160" fillId="0" borderId="20" xfId="0" applyNumberFormat="1" applyFont="1" applyFill="1" applyBorder="1" applyAlignment="1">
      <alignment horizontal="center" wrapText="1"/>
    </xf>
    <xf numFmtId="3" fontId="161" fillId="0" borderId="20" xfId="0" applyNumberFormat="1" applyFont="1" applyFill="1" applyBorder="1" applyAlignment="1">
      <alignment/>
    </xf>
    <xf numFmtId="1" fontId="5" fillId="47" borderId="20" xfId="0" applyNumberFormat="1" applyFont="1" applyFill="1" applyBorder="1" applyAlignment="1" applyProtection="1">
      <alignment horizontal="right" vertical="center"/>
      <protection/>
    </xf>
    <xf numFmtId="194" fontId="5" fillId="0" borderId="20" xfId="0" applyNumberFormat="1" applyFont="1" applyFill="1" applyBorder="1" applyAlignment="1" applyProtection="1">
      <alignment horizontal="right" vertical="center"/>
      <protection/>
    </xf>
    <xf numFmtId="194" fontId="5" fillId="47" borderId="20" xfId="136" applyNumberFormat="1" applyFont="1" applyFill="1" applyBorder="1" applyAlignment="1" applyProtection="1">
      <alignment horizontal="right" vertical="center"/>
      <protection/>
    </xf>
    <xf numFmtId="0" fontId="4" fillId="0" borderId="0" xfId="0" applyNumberFormat="1" applyFont="1" applyFill="1" applyAlignment="1">
      <alignment/>
    </xf>
    <xf numFmtId="0" fontId="0" fillId="49" borderId="20" xfId="0" applyFont="1" applyFill="1" applyBorder="1" applyAlignment="1">
      <alignment/>
    </xf>
    <xf numFmtId="41" fontId="5" fillId="47" borderId="20" xfId="0" applyNumberFormat="1" applyFont="1" applyFill="1" applyBorder="1" applyAlignment="1" applyProtection="1">
      <alignment horizontal="center" vertical="center"/>
      <protection locked="0"/>
    </xf>
    <xf numFmtId="194" fontId="5" fillId="47" borderId="20" xfId="0" applyNumberFormat="1" applyFont="1" applyFill="1" applyBorder="1" applyAlignment="1" applyProtection="1">
      <alignment horizontal="center" vertical="center"/>
      <protection/>
    </xf>
    <xf numFmtId="194" fontId="5" fillId="47" borderId="20" xfId="0" applyNumberFormat="1" applyFont="1" applyFill="1" applyBorder="1" applyAlignment="1" applyProtection="1">
      <alignment horizontal="left"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45" applyNumberFormat="1" applyFont="1" applyBorder="1" applyAlignment="1">
      <alignment horizontal="center" wrapText="1"/>
      <protection/>
    </xf>
    <xf numFmtId="49" fontId="64" fillId="0" borderId="0" xfId="145" applyNumberFormat="1" applyFont="1" applyBorder="1" applyAlignment="1">
      <alignment horizontal="center" wrapText="1"/>
      <protection/>
    </xf>
    <xf numFmtId="49" fontId="39" fillId="0" borderId="0" xfId="145" applyNumberFormat="1" applyFont="1" applyBorder="1" applyAlignment="1">
      <alignment horizontal="center" wrapText="1"/>
      <protection/>
    </xf>
    <xf numFmtId="49" fontId="7" fillId="0" borderId="26" xfId="145" applyNumberFormat="1" applyFont="1" applyBorder="1" applyAlignment="1">
      <alignment horizontal="center" vertical="center" wrapText="1"/>
      <protection/>
    </xf>
    <xf numFmtId="49" fontId="7" fillId="0" borderId="40" xfId="145" applyNumberFormat="1" applyFont="1" applyBorder="1" applyAlignment="1">
      <alignment horizontal="center" vertical="center" wrapText="1"/>
      <protection/>
    </xf>
    <xf numFmtId="49" fontId="7" fillId="0" borderId="25" xfId="145" applyNumberFormat="1" applyFont="1" applyBorder="1" applyAlignment="1">
      <alignment horizontal="center" vertical="center" wrapText="1"/>
      <protection/>
    </xf>
    <xf numFmtId="49" fontId="7" fillId="0" borderId="26" xfId="145" applyNumberFormat="1" applyFont="1" applyFill="1" applyBorder="1" applyAlignment="1">
      <alignment horizontal="center" vertical="center" wrapText="1"/>
      <protection/>
    </xf>
    <xf numFmtId="49" fontId="27" fillId="0"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3" fillId="47" borderId="38" xfId="145" applyNumberFormat="1" applyFont="1" applyFill="1" applyBorder="1" applyAlignment="1" applyProtection="1">
      <alignment horizontal="center" vertical="center" wrapText="1"/>
      <protection/>
    </xf>
    <xf numFmtId="3" fontId="33" fillId="47" borderId="23" xfId="145" applyNumberFormat="1" applyFont="1" applyFill="1" applyBorder="1" applyAlignment="1" applyProtection="1">
      <alignment horizontal="center" vertical="center" wrapText="1"/>
      <protection/>
    </xf>
    <xf numFmtId="49" fontId="7" fillId="0" borderId="20" xfId="145" applyNumberFormat="1" applyFont="1" applyFill="1" applyBorder="1" applyAlignment="1" applyProtection="1">
      <alignment horizontal="center" vertical="center" wrapText="1"/>
      <protection/>
    </xf>
    <xf numFmtId="3" fontId="7" fillId="47" borderId="21" xfId="145" applyNumberFormat="1" applyFont="1" applyFill="1" applyBorder="1" applyAlignment="1" applyProtection="1">
      <alignment horizontal="center" vertical="center" wrapText="1"/>
      <protection/>
    </xf>
    <xf numFmtId="3" fontId="7" fillId="47" borderId="23" xfId="145" applyNumberFormat="1" applyFont="1" applyFill="1" applyBorder="1" applyAlignment="1" applyProtection="1">
      <alignment horizontal="center" vertical="center" wrapText="1"/>
      <protection/>
    </xf>
    <xf numFmtId="49" fontId="0" fillId="0" borderId="0" xfId="145" applyNumberFormat="1" applyFont="1" applyAlignment="1">
      <alignment horizontal="left"/>
      <protection/>
    </xf>
    <xf numFmtId="49" fontId="32" fillId="0" borderId="0" xfId="145" applyNumberFormat="1" applyFont="1" applyAlignment="1">
      <alignment horizontal="center"/>
      <protection/>
    </xf>
    <xf numFmtId="49" fontId="28"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6" fillId="0" borderId="20" xfId="145" applyNumberFormat="1" applyFont="1" applyBorder="1" applyAlignment="1">
      <alignment horizontal="center" vertical="center" wrapText="1"/>
      <protection/>
    </xf>
    <xf numFmtId="49" fontId="30" fillId="0" borderId="0" xfId="145" applyNumberFormat="1" applyFont="1" applyBorder="1" applyAlignment="1">
      <alignment horizontal="center" wrapText="1"/>
      <protection/>
    </xf>
    <xf numFmtId="0" fontId="54" fillId="3" borderId="26" xfId="145" applyNumberFormat="1" applyFont="1" applyFill="1" applyBorder="1" applyAlignment="1">
      <alignment horizontal="center" vertical="center" wrapText="1"/>
      <protection/>
    </xf>
    <xf numFmtId="0" fontId="54" fillId="3" borderId="25" xfId="145" applyNumberFormat="1" applyFont="1" applyFill="1" applyBorder="1" applyAlignment="1">
      <alignment horizontal="center" vertical="center" wrapText="1"/>
      <protection/>
    </xf>
    <xf numFmtId="49" fontId="3"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18" fillId="0" borderId="22" xfId="145" applyNumberFormat="1" applyFont="1" applyFill="1" applyBorder="1" applyAlignment="1">
      <alignment horizontal="center" vertical="center"/>
      <protection/>
    </xf>
    <xf numFmtId="49" fontId="7" fillId="0" borderId="20" xfId="145" applyNumberFormat="1" applyFont="1" applyFill="1" applyBorder="1" applyAlignment="1">
      <alignment horizontal="center" vertical="center" wrapText="1"/>
      <protection/>
    </xf>
    <xf numFmtId="49" fontId="18" fillId="0" borderId="0" xfId="145" applyNumberFormat="1" applyFont="1" applyAlignment="1">
      <alignment horizontal="left"/>
      <protection/>
    </xf>
    <xf numFmtId="49" fontId="14" fillId="47" borderId="0" xfId="145" applyNumberFormat="1" applyFont="1" applyFill="1" applyAlignment="1">
      <alignment horizontal="center" vertical="center" wrapText="1"/>
      <protection/>
    </xf>
    <xf numFmtId="49" fontId="3" fillId="0" borderId="0" xfId="145" applyNumberFormat="1" applyFont="1" applyAlignment="1">
      <alignment horizontal="left"/>
      <protection/>
    </xf>
    <xf numFmtId="0" fontId="25" fillId="0" borderId="0" xfId="145" applyFont="1" applyAlignment="1">
      <alignment horizontal="center"/>
      <protection/>
    </xf>
    <xf numFmtId="49" fontId="25" fillId="47" borderId="0" xfId="145" applyNumberFormat="1" applyFont="1" applyFill="1" applyAlignment="1">
      <alignment horizontal="center"/>
      <protection/>
    </xf>
    <xf numFmtId="49" fontId="7" fillId="0" borderId="25" xfId="145" applyNumberFormat="1" applyFont="1" applyFill="1" applyBorder="1" applyAlignment="1">
      <alignment horizontal="center" vertical="center" wrapText="1"/>
      <protection/>
    </xf>
    <xf numFmtId="0" fontId="7" fillId="0" borderId="35" xfId="145" applyNumberFormat="1" applyFont="1" applyBorder="1" applyAlignment="1">
      <alignment horizontal="center" vertical="center" wrapText="1"/>
      <protection/>
    </xf>
    <xf numFmtId="0" fontId="7" fillId="0" borderId="36" xfId="145" applyNumberFormat="1" applyFont="1" applyBorder="1" applyAlignment="1">
      <alignment horizontal="center" vertical="center" wrapText="1"/>
      <protection/>
    </xf>
    <xf numFmtId="0" fontId="7" fillId="0" borderId="24" xfId="145" applyNumberFormat="1" applyFont="1" applyBorder="1" applyAlignment="1">
      <alignment horizontal="center" vertical="center" wrapText="1"/>
      <protection/>
    </xf>
    <xf numFmtId="0" fontId="7" fillId="0" borderId="39" xfId="145" applyNumberFormat="1" applyFont="1" applyBorder="1" applyAlignment="1">
      <alignment horizontal="center" vertical="center" wrapText="1"/>
      <protection/>
    </xf>
    <xf numFmtId="49" fontId="7" fillId="44" borderId="26" xfId="145" applyNumberFormat="1" applyFont="1" applyFill="1" applyBorder="1" applyAlignment="1">
      <alignment horizontal="center" vertical="center"/>
      <protection/>
    </xf>
    <xf numFmtId="49" fontId="7" fillId="44" borderId="25" xfId="145" applyNumberFormat="1" applyFont="1" applyFill="1" applyBorder="1" applyAlignment="1">
      <alignment horizontal="center" vertical="center"/>
      <protection/>
    </xf>
    <xf numFmtId="0" fontId="55" fillId="3" borderId="26" xfId="145" applyNumberFormat="1" applyFont="1" applyFill="1" applyBorder="1" applyAlignment="1">
      <alignment horizontal="center" vertical="center" wrapText="1"/>
      <protection/>
    </xf>
    <xf numFmtId="0" fontId="55" fillId="3" borderId="25" xfId="145" applyNumberFormat="1" applyFont="1" applyFill="1" applyBorder="1" applyAlignment="1">
      <alignment horizontal="center" vertical="center" wrapText="1"/>
      <protection/>
    </xf>
    <xf numFmtId="49" fontId="3" fillId="0" borderId="0" xfId="145" applyNumberFormat="1" applyFont="1" applyFill="1" applyAlignment="1">
      <alignment horizontal="left"/>
      <protection/>
    </xf>
    <xf numFmtId="49" fontId="6" fillId="0" borderId="20" xfId="145" applyNumberFormat="1" applyFont="1" applyFill="1" applyBorder="1" applyAlignment="1">
      <alignment horizontal="center" vertical="center" wrapText="1"/>
      <protection/>
    </xf>
    <xf numFmtId="49" fontId="6" fillId="0" borderId="26" xfId="145" applyNumberFormat="1" applyFont="1" applyFill="1" applyBorder="1" applyAlignment="1">
      <alignment horizontal="center" vertical="center" wrapText="1"/>
      <protection/>
    </xf>
    <xf numFmtId="49" fontId="6" fillId="0" borderId="40" xfId="145" applyNumberFormat="1" applyFont="1" applyFill="1" applyBorder="1" applyAlignment="1">
      <alignment horizontal="center" vertical="center" wrapText="1"/>
      <protection/>
    </xf>
    <xf numFmtId="49" fontId="6" fillId="0" borderId="25" xfId="145" applyNumberFormat="1" applyFont="1" applyFill="1" applyBorder="1" applyAlignment="1">
      <alignment horizontal="center" vertical="center" wrapText="1"/>
      <protection/>
    </xf>
    <xf numFmtId="49" fontId="18"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3" fillId="0" borderId="0" xfId="145" applyNumberFormat="1" applyFont="1" applyFill="1" applyAlignment="1">
      <alignment horizontal="center" vertical="top" wrapText="1"/>
      <protection/>
    </xf>
    <xf numFmtId="49" fontId="67" fillId="3" borderId="26" xfId="145" applyNumberFormat="1" applyFont="1" applyFill="1" applyBorder="1" applyAlignment="1">
      <alignment horizontal="center" vertical="center" wrapText="1"/>
      <protection/>
    </xf>
    <xf numFmtId="49" fontId="67" fillId="3" borderId="25" xfId="145" applyNumberFormat="1" applyFont="1" applyFill="1" applyBorder="1" applyAlignment="1">
      <alignment horizontal="center" vertical="center" wrapText="1"/>
      <protection/>
    </xf>
    <xf numFmtId="49" fontId="7" fillId="44" borderId="26" xfId="145" applyNumberFormat="1" applyFont="1" applyFill="1" applyBorder="1" applyAlignment="1">
      <alignment horizontal="center"/>
      <protection/>
    </xf>
    <xf numFmtId="49" fontId="7" fillId="44" borderId="25" xfId="145" applyNumberFormat="1" applyFont="1" applyFill="1" applyBorder="1" applyAlignment="1">
      <alignment horizontal="center"/>
      <protection/>
    </xf>
    <xf numFmtId="49" fontId="21" fillId="0" borderId="26" xfId="145" applyNumberFormat="1" applyFont="1" applyFill="1" applyBorder="1" applyAlignment="1">
      <alignment horizontal="center" vertical="center" wrapText="1"/>
      <protection/>
    </xf>
    <xf numFmtId="49" fontId="21" fillId="0" borderId="25" xfId="145" applyNumberFormat="1" applyFont="1" applyFill="1" applyBorder="1" applyAlignment="1">
      <alignment horizontal="center" vertical="center" wrapText="1"/>
      <protection/>
    </xf>
    <xf numFmtId="0" fontId="6" fillId="0" borderId="35" xfId="145" applyNumberFormat="1" applyFont="1" applyFill="1" applyBorder="1" applyAlignment="1">
      <alignment horizontal="center" vertical="center" wrapText="1"/>
      <protection/>
    </xf>
    <xf numFmtId="0" fontId="6" fillId="0" borderId="36" xfId="145" applyNumberFormat="1" applyFont="1" applyFill="1" applyBorder="1" applyAlignment="1">
      <alignment horizontal="center" vertical="center" wrapText="1"/>
      <protection/>
    </xf>
    <xf numFmtId="0" fontId="6" fillId="0" borderId="24" xfId="145" applyNumberFormat="1" applyFont="1" applyFill="1" applyBorder="1" applyAlignment="1">
      <alignment horizontal="center" vertical="center" wrapText="1"/>
      <protection/>
    </xf>
    <xf numFmtId="0" fontId="6" fillId="0" borderId="39" xfId="145" applyNumberFormat="1" applyFont="1" applyFill="1" applyBorder="1" applyAlignment="1">
      <alignment horizontal="center" vertical="center" wrapText="1"/>
      <protection/>
    </xf>
    <xf numFmtId="0" fontId="6" fillId="0" borderId="27" xfId="145" applyNumberFormat="1" applyFont="1" applyFill="1" applyBorder="1" applyAlignment="1">
      <alignment horizontal="center" vertical="center" wrapText="1"/>
      <protection/>
    </xf>
    <xf numFmtId="0" fontId="6" fillId="0" borderId="37" xfId="145" applyNumberFormat="1" applyFont="1" applyFill="1" applyBorder="1" applyAlignment="1">
      <alignment horizontal="center" vertical="center" wrapText="1"/>
      <protection/>
    </xf>
    <xf numFmtId="49" fontId="6" fillId="0" borderId="38" xfId="145" applyNumberFormat="1" applyFont="1" applyFill="1" applyBorder="1" applyAlignment="1">
      <alignment horizontal="center" vertical="center" wrapText="1"/>
      <protection/>
    </xf>
    <xf numFmtId="49" fontId="6" fillId="0" borderId="23" xfId="145" applyNumberFormat="1" applyFont="1" applyFill="1" applyBorder="1" applyAlignment="1">
      <alignment horizontal="center" vertical="center" wrapText="1"/>
      <protection/>
    </xf>
    <xf numFmtId="49" fontId="3" fillId="0" borderId="20" xfId="145" applyNumberFormat="1" applyFont="1" applyFill="1" applyBorder="1" applyAlignment="1">
      <alignment horizontal="center"/>
      <protection/>
    </xf>
    <xf numFmtId="49" fontId="66" fillId="3" borderId="26" xfId="145" applyNumberFormat="1" applyFont="1" applyFill="1" applyBorder="1" applyAlignment="1">
      <alignment horizontal="center" vertical="center" wrapText="1"/>
      <protection/>
    </xf>
    <xf numFmtId="49" fontId="66" fillId="3" borderId="25" xfId="145" applyNumberFormat="1" applyFont="1" applyFill="1" applyBorder="1" applyAlignment="1">
      <alignment horizontal="center" vertical="center" wrapText="1"/>
      <protection/>
    </xf>
    <xf numFmtId="49" fontId="0" fillId="0" borderId="0" xfId="145" applyNumberFormat="1" applyFont="1" applyFill="1" applyBorder="1" applyAlignment="1">
      <alignment horizontal="left"/>
      <protection/>
    </xf>
    <xf numFmtId="49" fontId="3" fillId="0" borderId="0" xfId="145" applyNumberFormat="1" applyFont="1" applyFill="1" applyBorder="1" applyAlignment="1">
      <alignment horizontal="left"/>
      <protection/>
    </xf>
    <xf numFmtId="49" fontId="3"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6" fillId="0" borderId="22" xfId="145" applyNumberFormat="1" applyFont="1" applyFill="1" applyBorder="1" applyAlignment="1">
      <alignment horizontal="center" vertical="center" wrapText="1"/>
      <protection/>
    </xf>
    <xf numFmtId="49" fontId="15" fillId="0" borderId="0" xfId="145" applyNumberFormat="1" applyFont="1" applyFill="1" applyBorder="1" applyAlignment="1">
      <alignment horizontal="center" vertical="center" wrapText="1"/>
      <protection/>
    </xf>
    <xf numFmtId="49" fontId="13" fillId="0" borderId="0" xfId="145" applyNumberFormat="1" applyFont="1" applyFill="1" applyAlignment="1">
      <alignment horizontal="left" wrapText="1"/>
      <protection/>
    </xf>
    <xf numFmtId="49" fontId="13" fillId="0" borderId="0" xfId="145" applyNumberFormat="1" applyFont="1" applyFill="1" applyAlignment="1">
      <alignment horizontal="center" wrapText="1"/>
      <protection/>
    </xf>
    <xf numFmtId="0" fontId="3" fillId="0" borderId="0" xfId="145" applyFont="1" applyAlignment="1">
      <alignment horizontal="center"/>
      <protection/>
    </xf>
    <xf numFmtId="49" fontId="3" fillId="47" borderId="0" xfId="145" applyNumberFormat="1" applyFont="1" applyFill="1" applyAlignment="1">
      <alignment horizontal="center"/>
      <protection/>
    </xf>
    <xf numFmtId="49" fontId="23" fillId="0" borderId="0" xfId="145" applyNumberFormat="1" applyFont="1" applyFill="1" applyBorder="1" applyAlignment="1">
      <alignment horizontal="center" wrapText="1"/>
      <protection/>
    </xf>
    <xf numFmtId="49" fontId="15" fillId="0" borderId="0" xfId="145" applyNumberFormat="1" applyFont="1" applyFill="1" applyBorder="1" applyAlignment="1">
      <alignment horizontal="center" wrapText="1"/>
      <protection/>
    </xf>
    <xf numFmtId="49" fontId="70" fillId="0" borderId="0" xfId="145" applyNumberFormat="1" applyFont="1" applyFill="1" applyAlignment="1">
      <alignment horizontal="center"/>
      <protection/>
    </xf>
    <xf numFmtId="49" fontId="18" fillId="0" borderId="0" xfId="145" applyNumberFormat="1" applyFont="1" applyFill="1" applyAlignment="1">
      <alignment horizontal="center"/>
      <protection/>
    </xf>
    <xf numFmtId="49" fontId="3" fillId="0" borderId="20" xfId="145" applyNumberFormat="1" applyFont="1" applyFill="1" applyBorder="1" applyAlignment="1">
      <alignment horizontal="center" vertical="center" wrapText="1"/>
      <protection/>
    </xf>
    <xf numFmtId="49" fontId="20" fillId="0" borderId="20" xfId="145" applyNumberFormat="1" applyFont="1" applyFill="1" applyBorder="1" applyAlignment="1">
      <alignment horizontal="center" vertical="center" wrapText="1"/>
      <protection/>
    </xf>
    <xf numFmtId="49" fontId="3" fillId="0" borderId="20" xfId="145" applyNumberFormat="1" applyFont="1" applyBorder="1" applyAlignment="1">
      <alignment horizontal="center"/>
      <protection/>
    </xf>
    <xf numFmtId="49" fontId="14" fillId="0" borderId="0" xfId="145" applyNumberFormat="1" applyFont="1" applyAlignment="1">
      <alignment horizontal="center" wrapText="1"/>
      <protection/>
    </xf>
    <xf numFmtId="49" fontId="18" fillId="0" borderId="22" xfId="145" applyNumberFormat="1" applyFont="1" applyBorder="1" applyAlignment="1">
      <alignment horizontal="left"/>
      <protection/>
    </xf>
    <xf numFmtId="49" fontId="18" fillId="0" borderId="0" xfId="145" applyNumberFormat="1" applyFont="1" applyAlignment="1">
      <alignment horizontal="center"/>
      <protection/>
    </xf>
    <xf numFmtId="49" fontId="55" fillId="3" borderId="26" xfId="145" applyNumberFormat="1" applyFont="1" applyFill="1" applyBorder="1" applyAlignment="1">
      <alignment horizontal="center" wrapText="1"/>
      <protection/>
    </xf>
    <xf numFmtId="49" fontId="55" fillId="3" borderId="25" xfId="145" applyNumberFormat="1" applyFont="1" applyFill="1" applyBorder="1" applyAlignment="1">
      <alignment horizontal="center" wrapText="1"/>
      <protection/>
    </xf>
    <xf numFmtId="49" fontId="54" fillId="3" borderId="26" xfId="145" applyNumberFormat="1" applyFont="1" applyFill="1" applyBorder="1" applyAlignment="1">
      <alignment horizontal="center" wrapText="1"/>
      <protection/>
    </xf>
    <xf numFmtId="49" fontId="54" fillId="3" borderId="25" xfId="145" applyNumberFormat="1" applyFont="1" applyFill="1" applyBorder="1" applyAlignment="1">
      <alignment horizontal="center" wrapText="1"/>
      <protection/>
    </xf>
    <xf numFmtId="49" fontId="18" fillId="0" borderId="0" xfId="145" applyNumberFormat="1" applyFont="1" applyBorder="1" applyAlignment="1">
      <alignment horizontal="left"/>
      <protection/>
    </xf>
    <xf numFmtId="49" fontId="28" fillId="0" borderId="0" xfId="145" applyNumberFormat="1" applyFont="1" applyAlignment="1">
      <alignment horizontal="center"/>
      <protection/>
    </xf>
    <xf numFmtId="49" fontId="0" fillId="0" borderId="0" xfId="145" applyNumberFormat="1" applyFont="1" applyAlignment="1">
      <alignment horizontal="left" wrapText="1"/>
      <protection/>
    </xf>
    <xf numFmtId="49" fontId="3" fillId="0" borderId="0" xfId="145" applyNumberFormat="1" applyFont="1" applyAlignment="1">
      <alignment horizontal="left" wrapText="1"/>
      <protection/>
    </xf>
    <xf numFmtId="49" fontId="0" fillId="0" borderId="0" xfId="145" applyNumberFormat="1" applyFont="1" applyAlignment="1">
      <alignment/>
      <protection/>
    </xf>
    <xf numFmtId="49" fontId="30" fillId="0" borderId="0" xfId="145" applyNumberFormat="1" applyFont="1" applyBorder="1" applyAlignment="1">
      <alignment horizontal="center"/>
      <protection/>
    </xf>
    <xf numFmtId="49" fontId="25" fillId="0" borderId="0" xfId="145" applyNumberFormat="1" applyFont="1" applyBorder="1" applyAlignment="1">
      <alignment horizontal="center"/>
      <protection/>
    </xf>
    <xf numFmtId="49" fontId="7" fillId="0" borderId="35" xfId="145" applyNumberFormat="1" applyFont="1" applyFill="1" applyBorder="1" applyAlignment="1">
      <alignment horizontal="center" vertical="center" wrapText="1"/>
      <protection/>
    </xf>
    <xf numFmtId="49" fontId="7" fillId="0" borderId="36" xfId="145" applyNumberFormat="1" applyFont="1" applyFill="1" applyBorder="1" applyAlignment="1">
      <alignment horizontal="center" vertical="center" wrapText="1"/>
      <protection/>
    </xf>
    <xf numFmtId="49" fontId="7" fillId="0" borderId="24" xfId="145" applyNumberFormat="1" applyFont="1" applyFill="1" applyBorder="1" applyAlignment="1">
      <alignment horizontal="center" vertical="center" wrapText="1"/>
      <protection/>
    </xf>
    <xf numFmtId="49" fontId="7" fillId="0" borderId="39" xfId="145" applyNumberFormat="1" applyFont="1" applyFill="1" applyBorder="1" applyAlignment="1">
      <alignment horizontal="center" vertical="center" wrapText="1"/>
      <protection/>
    </xf>
    <xf numFmtId="49" fontId="7" fillId="0" borderId="27" xfId="145" applyNumberFormat="1" applyFont="1" applyFill="1" applyBorder="1" applyAlignment="1">
      <alignment horizontal="center" vertical="center" wrapText="1"/>
      <protection/>
    </xf>
    <xf numFmtId="49" fontId="7" fillId="0" borderId="37" xfId="145" applyNumberFormat="1" applyFont="1" applyFill="1" applyBorder="1" applyAlignment="1">
      <alignment horizontal="center" vertical="center" wrapText="1"/>
      <protection/>
    </xf>
    <xf numFmtId="49" fontId="13" fillId="0" borderId="0" xfId="145" applyNumberFormat="1" applyFont="1" applyBorder="1" applyAlignment="1">
      <alignment wrapText="1"/>
      <protection/>
    </xf>
    <xf numFmtId="49" fontId="13" fillId="0" borderId="0" xfId="145" applyNumberFormat="1" applyFont="1" applyBorder="1" applyAlignment="1">
      <alignment horizontal="center" wrapText="1"/>
      <protection/>
    </xf>
    <xf numFmtId="49" fontId="7" fillId="44" borderId="26" xfId="145" applyNumberFormat="1" applyFont="1" applyFill="1" applyBorder="1" applyAlignment="1">
      <alignment horizontal="center" vertical="center" wrapText="1"/>
      <protection/>
    </xf>
    <xf numFmtId="49" fontId="7" fillId="44" borderId="25" xfId="145" applyNumberFormat="1" applyFont="1" applyFill="1" applyBorder="1" applyAlignment="1">
      <alignment horizontal="center" vertical="center" wrapText="1"/>
      <protection/>
    </xf>
    <xf numFmtId="49" fontId="16" fillId="0" borderId="26" xfId="145" applyNumberFormat="1" applyFont="1" applyBorder="1" applyAlignment="1">
      <alignment horizontal="center" wrapText="1"/>
      <protection/>
    </xf>
    <xf numFmtId="49" fontId="16" fillId="0" borderId="25" xfId="145" applyNumberFormat="1" applyFont="1" applyBorder="1" applyAlignment="1">
      <alignment horizontal="center" wrapText="1"/>
      <protection/>
    </xf>
    <xf numFmtId="49" fontId="28" fillId="0" borderId="0" xfId="145" applyNumberFormat="1" applyFont="1" applyBorder="1" applyAlignment="1">
      <alignment horizontal="center" wrapText="1"/>
      <protection/>
    </xf>
    <xf numFmtId="49" fontId="6" fillId="0" borderId="20" xfId="147" applyNumberFormat="1" applyFont="1" applyFill="1" applyBorder="1" applyAlignment="1">
      <alignment horizontal="center" vertical="center" wrapText="1"/>
      <protection/>
    </xf>
    <xf numFmtId="49" fontId="84" fillId="3" borderId="26" xfId="147" applyNumberFormat="1" applyFont="1" applyFill="1" applyBorder="1" applyAlignment="1">
      <alignment horizontal="center" vertical="center" wrapText="1"/>
      <protection/>
    </xf>
    <xf numFmtId="49" fontId="84" fillId="3" borderId="25" xfId="147" applyNumberFormat="1" applyFont="1" applyFill="1" applyBorder="1" applyAlignment="1">
      <alignment horizontal="center" vertical="center" wrapText="1"/>
      <protection/>
    </xf>
    <xf numFmtId="49" fontId="6" fillId="0" borderId="25" xfId="147" applyNumberFormat="1" applyFont="1" applyFill="1" applyBorder="1" applyAlignment="1">
      <alignment horizontal="center" vertical="center" wrapText="1"/>
      <protection/>
    </xf>
    <xf numFmtId="49" fontId="3" fillId="0" borderId="0" xfId="147" applyNumberFormat="1" applyFont="1" applyBorder="1" applyAlignment="1">
      <alignment horizontal="left"/>
      <protection/>
    </xf>
    <xf numFmtId="49" fontId="6" fillId="0" borderId="35" xfId="147" applyNumberFormat="1" applyFont="1" applyFill="1" applyBorder="1" applyAlignment="1">
      <alignment horizontal="center" vertical="center"/>
      <protection/>
    </xf>
    <xf numFmtId="49" fontId="6" fillId="0" borderId="36" xfId="147" applyNumberFormat="1" applyFont="1" applyFill="1" applyBorder="1" applyAlignment="1">
      <alignment horizontal="center" vertical="center"/>
      <protection/>
    </xf>
    <xf numFmtId="49" fontId="6" fillId="0" borderId="24" xfId="147" applyNumberFormat="1" applyFont="1" applyFill="1" applyBorder="1" applyAlignment="1">
      <alignment horizontal="center" vertical="center"/>
      <protection/>
    </xf>
    <xf numFmtId="49" fontId="6" fillId="0" borderId="39"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protection/>
    </xf>
    <xf numFmtId="49" fontId="6" fillId="0" borderId="37" xfId="147" applyNumberFormat="1" applyFont="1" applyFill="1" applyBorder="1" applyAlignment="1">
      <alignment horizontal="center" vertical="center"/>
      <protection/>
    </xf>
    <xf numFmtId="49" fontId="14" fillId="0" borderId="0" xfId="147" applyNumberFormat="1" applyFont="1" applyFill="1" applyAlignment="1">
      <alignment horizontal="center" wrapText="1"/>
      <protection/>
    </xf>
    <xf numFmtId="49" fontId="14" fillId="0" borderId="0" xfId="147" applyNumberFormat="1" applyFont="1" applyAlignment="1">
      <alignment horizontal="center"/>
      <protection/>
    </xf>
    <xf numFmtId="49" fontId="4" fillId="0" borderId="0" xfId="147" applyNumberFormat="1" applyFont="1" applyAlignment="1">
      <alignment horizontal="left"/>
      <protection/>
    </xf>
    <xf numFmtId="49" fontId="6" fillId="0" borderId="26" xfId="147" applyNumberFormat="1" applyFont="1" applyFill="1" applyBorder="1" applyAlignment="1">
      <alignment horizontal="center" vertical="center"/>
      <protection/>
    </xf>
    <xf numFmtId="49" fontId="6" fillId="0" borderId="40" xfId="147" applyNumberFormat="1" applyFont="1" applyFill="1" applyBorder="1" applyAlignment="1">
      <alignment horizontal="center" vertical="center"/>
      <protection/>
    </xf>
    <xf numFmtId="49" fontId="3" fillId="0" borderId="0" xfId="147" applyNumberFormat="1" applyFont="1" applyFill="1" applyAlignment="1">
      <alignment horizontal="left"/>
      <protection/>
    </xf>
    <xf numFmtId="49" fontId="32" fillId="0" borderId="0" xfId="147" applyNumberFormat="1" applyFont="1" applyAlignment="1">
      <alignment horizontal="center"/>
      <protection/>
    </xf>
    <xf numFmtId="49" fontId="18" fillId="0" borderId="0" xfId="147" applyNumberFormat="1" applyFont="1" applyBorder="1" applyAlignment="1">
      <alignment horizontal="left"/>
      <protection/>
    </xf>
    <xf numFmtId="49" fontId="6" fillId="0" borderId="26" xfId="147" applyNumberFormat="1" applyFont="1" applyFill="1" applyBorder="1" applyAlignment="1">
      <alignment horizontal="center" vertical="center" wrapText="1"/>
      <protection/>
    </xf>
    <xf numFmtId="49" fontId="85" fillId="3" borderId="26" xfId="147" applyNumberFormat="1" applyFont="1" applyFill="1" applyBorder="1" applyAlignment="1">
      <alignment horizontal="center" vertical="center" wrapText="1"/>
      <protection/>
    </xf>
    <xf numFmtId="49" fontId="85" fillId="3" borderId="25"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0" fontId="25" fillId="47" borderId="0" xfId="147" applyFont="1" applyFill="1" applyBorder="1" applyAlignment="1">
      <alignment horizontal="center"/>
      <protection/>
    </xf>
    <xf numFmtId="49" fontId="30" fillId="0" borderId="0" xfId="147" applyNumberFormat="1" applyFont="1" applyAlignment="1">
      <alignment horizontal="center"/>
      <protection/>
    </xf>
    <xf numFmtId="49" fontId="25" fillId="0" borderId="0" xfId="147" applyNumberFormat="1" applyFont="1" applyBorder="1" applyAlignment="1">
      <alignment horizontal="center" wrapText="1"/>
      <protection/>
    </xf>
    <xf numFmtId="49" fontId="6" fillId="0" borderId="26" xfId="147" applyNumberFormat="1" applyFont="1" applyBorder="1" applyAlignment="1">
      <alignment horizontal="center" vertical="center" wrapText="1"/>
      <protection/>
    </xf>
    <xf numFmtId="49" fontId="6" fillId="0" borderId="25" xfId="147" applyNumberFormat="1" applyFont="1" applyBorder="1" applyAlignment="1">
      <alignment horizontal="center" vertical="center" wrapText="1"/>
      <protection/>
    </xf>
    <xf numFmtId="49" fontId="25" fillId="0" borderId="0" xfId="147" applyNumberFormat="1" applyFont="1" applyBorder="1" applyAlignment="1">
      <alignment horizontal="center"/>
      <protection/>
    </xf>
    <xf numFmtId="49" fontId="75" fillId="4" borderId="21" xfId="147" applyNumberFormat="1" applyFont="1" applyFill="1" applyBorder="1" applyAlignment="1">
      <alignment horizontal="center" vertical="center" wrapText="1"/>
      <protection/>
    </xf>
    <xf numFmtId="49" fontId="75" fillId="4" borderId="38" xfId="147" applyNumberFormat="1" applyFont="1" applyFill="1" applyBorder="1" applyAlignment="1">
      <alignment horizontal="center" vertical="center" wrapText="1"/>
      <protection/>
    </xf>
    <xf numFmtId="49" fontId="75"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83" fillId="0" borderId="26" xfId="147" applyNumberFormat="1" applyFont="1" applyBorder="1" applyAlignment="1">
      <alignment horizontal="center" vertical="center" wrapText="1"/>
      <protection/>
    </xf>
    <xf numFmtId="49" fontId="83" fillId="0" borderId="25" xfId="147" applyNumberFormat="1" applyFont="1" applyBorder="1" applyAlignment="1">
      <alignment horizontal="center" vertical="center" wrapText="1"/>
      <protection/>
    </xf>
    <xf numFmtId="49" fontId="30" fillId="0" borderId="0" xfId="147" applyNumberFormat="1" applyFont="1" applyBorder="1" applyAlignment="1">
      <alignment horizontal="center" wrapText="1"/>
      <protection/>
    </xf>
    <xf numFmtId="49" fontId="6" fillId="0" borderId="21" xfId="147" applyNumberFormat="1" applyFont="1" applyFill="1" applyBorder="1" applyAlignment="1">
      <alignment horizontal="center" vertical="center" wrapText="1"/>
      <protection/>
    </xf>
    <xf numFmtId="49" fontId="6" fillId="0" borderId="38" xfId="147" applyNumberFormat="1" applyFont="1" applyFill="1" applyBorder="1" applyAlignment="1">
      <alignment horizontal="center" vertical="center" wrapText="1"/>
      <protection/>
    </xf>
    <xf numFmtId="49" fontId="6" fillId="0" borderId="23" xfId="147" applyNumberFormat="1" applyFont="1" applyFill="1" applyBorder="1" applyAlignment="1">
      <alignment horizontal="center" vertical="center" wrapText="1"/>
      <protection/>
    </xf>
    <xf numFmtId="49" fontId="13" fillId="0" borderId="0" xfId="147" applyNumberFormat="1" applyFont="1" applyAlignment="1">
      <alignment horizontal="center"/>
      <protection/>
    </xf>
    <xf numFmtId="49" fontId="30" fillId="0" borderId="0" xfId="147" applyNumberFormat="1" applyFont="1" applyBorder="1" applyAlignment="1">
      <alignment horizontal="center"/>
      <protection/>
    </xf>
    <xf numFmtId="0" fontId="6" fillId="0" borderId="20" xfId="147" applyFont="1" applyBorder="1" applyAlignment="1">
      <alignment horizontal="center" vertical="center" wrapText="1"/>
      <protection/>
    </xf>
    <xf numFmtId="0" fontId="6" fillId="0" borderId="20" xfId="147" applyFont="1" applyBorder="1" applyAlignment="1">
      <alignment horizontal="center" vertical="center"/>
      <protection/>
    </xf>
    <xf numFmtId="0" fontId="6" fillId="0" borderId="20" xfId="147" applyFont="1" applyFill="1" applyBorder="1" applyAlignment="1">
      <alignment horizontal="center" vertical="center" wrapText="1"/>
      <protection/>
    </xf>
    <xf numFmtId="0" fontId="12" fillId="0" borderId="20" xfId="147" applyFont="1" applyBorder="1" applyAlignment="1">
      <alignment horizontal="center" vertical="center" wrapText="1"/>
      <protection/>
    </xf>
    <xf numFmtId="0" fontId="3" fillId="0" borderId="0" xfId="147" applyFont="1" applyBorder="1" applyAlignment="1">
      <alignment horizontal="left"/>
      <protection/>
    </xf>
    <xf numFmtId="0" fontId="0" fillId="0" borderId="0" xfId="147" applyFont="1" applyBorder="1" applyAlignment="1">
      <alignment horizontal="left"/>
      <protection/>
    </xf>
    <xf numFmtId="0" fontId="14" fillId="0" borderId="0" xfId="147" applyFont="1" applyAlignment="1">
      <alignment horizontal="center"/>
      <protection/>
    </xf>
    <xf numFmtId="0" fontId="32" fillId="0" borderId="0" xfId="147" applyFont="1" applyAlignment="1">
      <alignment horizontal="center"/>
      <protection/>
    </xf>
    <xf numFmtId="0" fontId="6" fillId="0" borderId="35" xfId="147" applyFont="1" applyBorder="1" applyAlignment="1">
      <alignment horizontal="center" vertical="center" wrapText="1"/>
      <protection/>
    </xf>
    <xf numFmtId="0" fontId="6" fillId="0" borderId="19" xfId="147" applyFont="1" applyBorder="1" applyAlignment="1">
      <alignment horizontal="center" vertical="center" wrapText="1"/>
      <protection/>
    </xf>
    <xf numFmtId="0" fontId="6" fillId="0" borderId="36" xfId="147" applyFont="1" applyBorder="1" applyAlignment="1">
      <alignment horizontal="center" vertical="center" wrapText="1"/>
      <protection/>
    </xf>
    <xf numFmtId="0" fontId="6" fillId="0" borderId="24" xfId="147" applyFont="1" applyBorder="1" applyAlignment="1">
      <alignment horizontal="center" vertical="center" wrapText="1"/>
      <protection/>
    </xf>
    <xf numFmtId="0" fontId="6" fillId="0" borderId="0" xfId="147" applyFont="1" applyBorder="1" applyAlignment="1">
      <alignment horizontal="center" vertical="center" wrapText="1"/>
      <protection/>
    </xf>
    <xf numFmtId="0" fontId="6" fillId="0" borderId="39" xfId="147" applyFont="1" applyBorder="1" applyAlignment="1">
      <alignment horizontal="center" vertical="center" wrapText="1"/>
      <protection/>
    </xf>
    <xf numFmtId="0" fontId="6" fillId="0" borderId="25" xfId="147" applyFont="1" applyBorder="1" applyAlignment="1">
      <alignment horizontal="center" vertical="center" wrapText="1"/>
      <protection/>
    </xf>
    <xf numFmtId="0" fontId="6" fillId="0" borderId="40" xfId="147" applyFont="1" applyBorder="1" applyAlignment="1">
      <alignment horizontal="center" vertical="center"/>
      <protection/>
    </xf>
    <xf numFmtId="0" fontId="6" fillId="0" borderId="25" xfId="147" applyFont="1" applyBorder="1" applyAlignment="1">
      <alignment horizontal="center" vertical="center"/>
      <protection/>
    </xf>
    <xf numFmtId="0" fontId="3"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4" fillId="0" borderId="0" xfId="147" applyFont="1" applyAlignment="1">
      <alignment horizontal="center" wrapText="1"/>
      <protection/>
    </xf>
    <xf numFmtId="0" fontId="13"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13" fillId="0" borderId="22" xfId="147" applyFont="1" applyBorder="1" applyAlignment="1">
      <alignment horizontal="left"/>
      <protection/>
    </xf>
    <xf numFmtId="0" fontId="6" fillId="0" borderId="26" xfId="147" applyFont="1" applyBorder="1" applyAlignment="1">
      <alignment horizontal="center" vertical="center"/>
      <protection/>
    </xf>
    <xf numFmtId="0" fontId="30" fillId="0" borderId="0" xfId="147" applyNumberFormat="1" applyFont="1" applyBorder="1" applyAlignment="1">
      <alignment horizontal="center"/>
      <protection/>
    </xf>
    <xf numFmtId="0" fontId="30" fillId="0" borderId="0" xfId="147" applyFont="1" applyBorder="1" applyAlignment="1">
      <alignment horizontal="center" wrapText="1"/>
      <protection/>
    </xf>
    <xf numFmtId="0" fontId="25" fillId="0" borderId="0" xfId="147" applyFont="1" applyBorder="1" applyAlignment="1">
      <alignment horizontal="center" wrapText="1"/>
      <protection/>
    </xf>
    <xf numFmtId="0" fontId="66" fillId="3" borderId="26" xfId="147" applyFont="1" applyFill="1" applyBorder="1" applyAlignment="1">
      <alignment horizontal="center" vertical="center" wrapText="1"/>
      <protection/>
    </xf>
    <xf numFmtId="0" fontId="66" fillId="3" borderId="25" xfId="147" applyFont="1" applyFill="1" applyBorder="1" applyAlignment="1">
      <alignment horizontal="center" vertical="center" wrapText="1"/>
      <protection/>
    </xf>
    <xf numFmtId="0" fontId="25" fillId="0" borderId="0" xfId="147" applyNumberFormat="1" applyFont="1" applyBorder="1" applyAlignment="1">
      <alignment horizontal="center"/>
      <protection/>
    </xf>
    <xf numFmtId="0" fontId="67" fillId="3" borderId="26" xfId="147" applyFont="1" applyFill="1" applyBorder="1" applyAlignment="1">
      <alignment horizontal="center" vertical="center" wrapText="1"/>
      <protection/>
    </xf>
    <xf numFmtId="0" fontId="67" fillId="3" borderId="25" xfId="147" applyFont="1" applyFill="1" applyBorder="1" applyAlignment="1">
      <alignment horizontal="center" vertical="center" wrapText="1"/>
      <protection/>
    </xf>
    <xf numFmtId="0" fontId="87" fillId="0" borderId="0" xfId="147" applyFont="1" applyAlignment="1">
      <alignment horizontal="center"/>
      <protection/>
    </xf>
    <xf numFmtId="0" fontId="6" fillId="0" borderId="26" xfId="147" applyFont="1" applyBorder="1" applyAlignment="1">
      <alignment horizontal="center" vertical="center" wrapText="1"/>
      <protection/>
    </xf>
    <xf numFmtId="0" fontId="6" fillId="0" borderId="21" xfId="147" applyFont="1" applyBorder="1" applyAlignment="1">
      <alignment horizontal="center" vertical="center" wrapText="1"/>
      <protection/>
    </xf>
    <xf numFmtId="0" fontId="6" fillId="0" borderId="38" xfId="147" applyFont="1" applyBorder="1" applyAlignment="1">
      <alignment horizontal="center" vertical="center" wrapText="1"/>
      <protection/>
    </xf>
    <xf numFmtId="0" fontId="6" fillId="0" borderId="23" xfId="147" applyFont="1" applyBorder="1" applyAlignment="1">
      <alignment horizontal="center" vertical="center" wrapText="1"/>
      <protection/>
    </xf>
    <xf numFmtId="0" fontId="21" fillId="0" borderId="26" xfId="147" applyFont="1" applyBorder="1" applyAlignment="1">
      <alignment horizontal="center" vertical="center" wrapText="1"/>
      <protection/>
    </xf>
    <xf numFmtId="0" fontId="21" fillId="0" borderId="25" xfId="147" applyFont="1" applyBorder="1" applyAlignment="1">
      <alignment horizontal="center" vertical="center" wrapText="1"/>
      <protection/>
    </xf>
    <xf numFmtId="49" fontId="6" fillId="0" borderId="19" xfId="147" applyNumberFormat="1" applyFont="1" applyFill="1" applyBorder="1" applyAlignment="1">
      <alignment horizontal="center" vertical="center"/>
      <protection/>
    </xf>
    <xf numFmtId="49" fontId="6" fillId="0" borderId="0" xfId="147" applyNumberFormat="1" applyFont="1" applyFill="1" applyBorder="1" applyAlignment="1">
      <alignment horizontal="center" vertical="center"/>
      <protection/>
    </xf>
    <xf numFmtId="49" fontId="6" fillId="0" borderId="22" xfId="147" applyNumberFormat="1" applyFont="1" applyFill="1" applyBorder="1" applyAlignment="1">
      <alignment horizontal="center" vertical="center"/>
      <protection/>
    </xf>
    <xf numFmtId="49" fontId="78" fillId="0" borderId="0" xfId="147" applyNumberFormat="1" applyFont="1" applyAlignment="1">
      <alignment horizontal="center"/>
      <protection/>
    </xf>
    <xf numFmtId="49" fontId="6" fillId="0" borderId="20" xfId="147" applyNumberFormat="1" applyFont="1" applyFill="1" applyBorder="1" applyAlignment="1">
      <alignment horizontal="center" vertical="center"/>
      <protection/>
    </xf>
    <xf numFmtId="49" fontId="76" fillId="3" borderId="26" xfId="147" applyNumberFormat="1" applyFont="1" applyFill="1" applyBorder="1" applyAlignment="1">
      <alignment horizontal="center" vertical="center" wrapText="1"/>
      <protection/>
    </xf>
    <xf numFmtId="49" fontId="76" fillId="3" borderId="25" xfId="147" applyNumberFormat="1" applyFont="1" applyFill="1" applyBorder="1" applyAlignment="1">
      <alignment horizontal="center" vertical="center" wrapText="1"/>
      <protection/>
    </xf>
    <xf numFmtId="49" fontId="74" fillId="3" borderId="26" xfId="147" applyNumberFormat="1" applyFont="1" applyFill="1" applyBorder="1" applyAlignment="1">
      <alignment horizontal="center" vertical="center" wrapText="1"/>
      <protection/>
    </xf>
    <xf numFmtId="49" fontId="74" fillId="3" borderId="25" xfId="147" applyNumberFormat="1" applyFont="1" applyFill="1" applyBorder="1" applyAlignment="1">
      <alignment horizontal="center" vertical="center" wrapText="1"/>
      <protection/>
    </xf>
    <xf numFmtId="49" fontId="3" fillId="0" borderId="0" xfId="147" applyNumberFormat="1" applyFont="1" applyAlignment="1">
      <alignment horizontal="left"/>
      <protection/>
    </xf>
    <xf numFmtId="49" fontId="5" fillId="0" borderId="0" xfId="147" applyNumberFormat="1" applyFont="1" applyBorder="1" applyAlignment="1">
      <alignment horizontal="left" wrapText="1"/>
      <protection/>
    </xf>
    <xf numFmtId="49" fontId="5" fillId="0" borderId="0" xfId="147" applyNumberFormat="1" applyFont="1" applyBorder="1" applyAlignment="1">
      <alignment horizontal="left"/>
      <protection/>
    </xf>
    <xf numFmtId="49" fontId="14"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3"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18" fillId="0" borderId="0" xfId="147" applyNumberFormat="1" applyFont="1" applyAlignment="1">
      <alignment horizontal="center" wrapText="1"/>
      <protection/>
    </xf>
    <xf numFmtId="49" fontId="19" fillId="0" borderId="22" xfId="147" applyNumberFormat="1" applyFont="1" applyBorder="1" applyAlignment="1">
      <alignment horizontal="center"/>
      <protection/>
    </xf>
    <xf numFmtId="49" fontId="73" fillId="0" borderId="20" xfId="147" applyNumberFormat="1" applyFont="1" applyBorder="1" applyAlignment="1">
      <alignment horizontal="center" vertical="center" wrapText="1"/>
      <protection/>
    </xf>
    <xf numFmtId="49" fontId="12" fillId="0" borderId="20" xfId="147" applyNumberFormat="1" applyFont="1" applyBorder="1" applyAlignment="1">
      <alignment horizontal="center" vertical="center" wrapText="1"/>
      <protection/>
    </xf>
    <xf numFmtId="49" fontId="7" fillId="0" borderId="0" xfId="147" applyNumberFormat="1" applyFont="1" applyAlignment="1">
      <alignment horizontal="left"/>
      <protection/>
    </xf>
    <xf numFmtId="49" fontId="13" fillId="0" borderId="0" xfId="147" applyNumberFormat="1" applyFont="1" applyBorder="1" applyAlignment="1">
      <alignment horizontal="left"/>
      <protection/>
    </xf>
    <xf numFmtId="49" fontId="7" fillId="0" borderId="26" xfId="147" applyNumberFormat="1" applyFont="1" applyBorder="1" applyAlignment="1">
      <alignment horizontal="center" vertical="center" wrapText="1"/>
      <protection/>
    </xf>
    <xf numFmtId="49" fontId="7" fillId="0" borderId="25" xfId="147" applyNumberFormat="1" applyFont="1" applyBorder="1" applyAlignment="1">
      <alignment horizontal="center" vertical="center" wrapText="1"/>
      <protection/>
    </xf>
    <xf numFmtId="49" fontId="4" fillId="0" borderId="0" xfId="147" applyNumberFormat="1" applyFont="1" applyAlignment="1">
      <alignment/>
      <protection/>
    </xf>
    <xf numFmtId="49" fontId="0" fillId="0" borderId="0" xfId="147" applyNumberFormat="1" applyFont="1" applyBorder="1" applyAlignment="1">
      <alignment horizontal="left"/>
      <protection/>
    </xf>
    <xf numFmtId="49" fontId="19" fillId="0" borderId="26" xfId="147" applyNumberFormat="1" applyFont="1" applyBorder="1" applyAlignment="1">
      <alignment horizontal="center" vertical="center" wrapText="1"/>
      <protection/>
    </xf>
    <xf numFmtId="49" fontId="19" fillId="0" borderId="25" xfId="147" applyNumberFormat="1" applyFont="1" applyBorder="1" applyAlignment="1">
      <alignment horizontal="center" vertical="center" wrapText="1"/>
      <protection/>
    </xf>
    <xf numFmtId="49" fontId="89" fillId="3" borderId="26" xfId="147" applyNumberFormat="1" applyFont="1" applyFill="1" applyBorder="1" applyAlignment="1">
      <alignment horizontal="center" vertical="center" wrapText="1"/>
      <protection/>
    </xf>
    <xf numFmtId="49" fontId="89" fillId="3" borderId="25"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wrapText="1"/>
      <protection/>
    </xf>
    <xf numFmtId="49" fontId="88" fillId="3" borderId="25" xfId="147" applyNumberFormat="1" applyFont="1" applyFill="1" applyBorder="1" applyAlignment="1">
      <alignment horizontal="center" vertical="center" wrapText="1"/>
      <protection/>
    </xf>
    <xf numFmtId="49" fontId="6" fillId="0" borderId="21" xfId="147" applyNumberFormat="1" applyFont="1" applyBorder="1" applyAlignment="1">
      <alignment horizontal="center" vertical="center" wrapText="1"/>
      <protection/>
    </xf>
    <xf numFmtId="49" fontId="6" fillId="0" borderId="23" xfId="147" applyNumberFormat="1" applyFont="1" applyBorder="1" applyAlignment="1">
      <alignment horizontal="center" vertical="center" wrapText="1"/>
      <protection/>
    </xf>
    <xf numFmtId="49" fontId="6" fillId="0" borderId="38" xfId="147" applyNumberFormat="1" applyFont="1" applyBorder="1" applyAlignment="1">
      <alignment horizontal="center" vertical="center" wrapText="1"/>
      <protection/>
    </xf>
    <xf numFmtId="49" fontId="6" fillId="0" borderId="40" xfId="147" applyNumberFormat="1" applyFont="1" applyBorder="1" applyAlignment="1">
      <alignment horizontal="center" vertical="center" wrapText="1"/>
      <protection/>
    </xf>
    <xf numFmtId="49" fontId="19" fillId="0" borderId="0" xfId="147" applyNumberFormat="1" applyFont="1" applyAlignment="1">
      <alignment horizontal="center"/>
      <protection/>
    </xf>
    <xf numFmtId="49" fontId="18" fillId="0" borderId="22" xfId="147" applyNumberFormat="1" applyFont="1" applyBorder="1" applyAlignment="1">
      <alignment horizontal="left"/>
      <protection/>
    </xf>
    <xf numFmtId="49" fontId="30" fillId="0" borderId="0" xfId="147" applyNumberFormat="1" applyFont="1" applyBorder="1" applyAlignment="1">
      <alignment horizontal="left" wrapText="1"/>
      <protection/>
    </xf>
    <xf numFmtId="49" fontId="0" fillId="0" borderId="0" xfId="147" applyNumberFormat="1" applyFont="1" applyFill="1" applyAlignment="1">
      <alignment horizontal="left"/>
      <protection/>
    </xf>
    <xf numFmtId="49" fontId="6" fillId="0" borderId="40" xfId="147" applyNumberFormat="1" applyFont="1" applyFill="1" applyBorder="1" applyAlignment="1">
      <alignment horizontal="center" vertical="center" wrapText="1"/>
      <protection/>
    </xf>
    <xf numFmtId="49" fontId="88" fillId="3" borderId="26" xfId="147" applyNumberFormat="1" applyFont="1" applyFill="1" applyBorder="1" applyAlignment="1">
      <alignment horizontal="center" vertical="center"/>
      <protection/>
    </xf>
    <xf numFmtId="49" fontId="88" fillId="3" borderId="25" xfId="147" applyNumberFormat="1" applyFont="1" applyFill="1" applyBorder="1" applyAlignment="1">
      <alignment horizontal="center" vertical="center"/>
      <protection/>
    </xf>
    <xf numFmtId="49" fontId="6" fillId="0" borderId="27" xfId="147" applyNumberFormat="1" applyFont="1" applyFill="1" applyBorder="1" applyAlignment="1">
      <alignment horizontal="center" vertical="center" wrapText="1"/>
      <protection/>
    </xf>
    <xf numFmtId="49" fontId="6" fillId="0" borderId="37" xfId="147" applyNumberFormat="1" applyFont="1" applyFill="1" applyBorder="1" applyAlignment="1">
      <alignment horizontal="center" vertical="center" wrapText="1"/>
      <protection/>
    </xf>
    <xf numFmtId="0" fontId="81" fillId="0" borderId="40" xfId="147" applyFont="1" applyFill="1" applyBorder="1" applyAlignment="1">
      <alignment horizontal="center" vertical="center" wrapText="1"/>
      <protection/>
    </xf>
    <xf numFmtId="0" fontId="81" fillId="0" borderId="25" xfId="147" applyFont="1" applyFill="1" applyBorder="1" applyAlignment="1">
      <alignment horizontal="center" vertical="center" wrapText="1"/>
      <protection/>
    </xf>
    <xf numFmtId="49" fontId="6" fillId="0" borderId="35" xfId="147" applyNumberFormat="1" applyFont="1" applyFill="1" applyBorder="1" applyAlignment="1">
      <alignment horizontal="center" vertical="center" wrapText="1"/>
      <protection/>
    </xf>
    <xf numFmtId="49" fontId="6" fillId="0" borderId="36" xfId="147" applyNumberFormat="1" applyFont="1" applyFill="1" applyBorder="1" applyAlignment="1">
      <alignment horizontal="center" vertical="center" wrapText="1"/>
      <protection/>
    </xf>
    <xf numFmtId="49" fontId="6" fillId="0" borderId="24" xfId="147" applyNumberFormat="1" applyFont="1" applyFill="1" applyBorder="1" applyAlignment="1">
      <alignment horizontal="center" vertical="center" wrapText="1"/>
      <protection/>
    </xf>
    <xf numFmtId="49" fontId="6" fillId="0" borderId="39" xfId="147" applyNumberFormat="1" applyFont="1" applyFill="1" applyBorder="1" applyAlignment="1">
      <alignment horizontal="center" vertical="center" wrapText="1"/>
      <protection/>
    </xf>
    <xf numFmtId="49" fontId="28" fillId="0" borderId="0" xfId="147" applyNumberFormat="1" applyFont="1" applyAlignment="1">
      <alignment horizontal="center"/>
      <protection/>
    </xf>
    <xf numFmtId="49" fontId="89" fillId="3" borderId="26" xfId="147" applyNumberFormat="1" applyFont="1" applyFill="1" applyBorder="1" applyAlignment="1">
      <alignment horizontal="center" vertical="center"/>
      <protection/>
    </xf>
    <xf numFmtId="49" fontId="89" fillId="3" borderId="25" xfId="147" applyNumberFormat="1" applyFont="1" applyFill="1" applyBorder="1" applyAlignment="1">
      <alignment horizontal="center" vertical="center"/>
      <protection/>
    </xf>
    <xf numFmtId="49" fontId="18" fillId="0" borderId="0" xfId="147" applyNumberFormat="1" applyFont="1" applyFill="1" applyBorder="1" applyAlignment="1">
      <alignment horizontal="left"/>
      <protection/>
    </xf>
    <xf numFmtId="49" fontId="19" fillId="0" borderId="26" xfId="147" applyNumberFormat="1" applyFont="1" applyFill="1" applyBorder="1" applyAlignment="1">
      <alignment horizontal="center" vertical="center"/>
      <protection/>
    </xf>
    <xf numFmtId="49" fontId="19" fillId="0" borderId="25" xfId="147" applyNumberFormat="1" applyFont="1" applyFill="1" applyBorder="1" applyAlignment="1">
      <alignment horizontal="center" vertical="center"/>
      <protection/>
    </xf>
    <xf numFmtId="49" fontId="6" fillId="47" borderId="26" xfId="147" applyNumberFormat="1" applyFont="1" applyFill="1" applyBorder="1" applyAlignment="1">
      <alignment horizontal="center" vertical="center"/>
      <protection/>
    </xf>
    <xf numFmtId="49" fontId="6" fillId="47" borderId="25" xfId="147" applyNumberFormat="1" applyFont="1" applyFill="1" applyBorder="1" applyAlignment="1">
      <alignment horizontal="center" vertical="center"/>
      <protection/>
    </xf>
    <xf numFmtId="49" fontId="13" fillId="0" borderId="22" xfId="147" applyNumberFormat="1" applyFont="1" applyFill="1" applyBorder="1" applyAlignment="1">
      <alignment horizontal="center" vertical="center"/>
      <protection/>
    </xf>
    <xf numFmtId="0" fontId="14" fillId="0" borderId="0" xfId="147" applyNumberFormat="1" applyFont="1" applyAlignment="1">
      <alignment horizontal="center"/>
      <protection/>
    </xf>
    <xf numFmtId="0" fontId="32" fillId="0" borderId="0" xfId="147" applyNumberFormat="1" applyFont="1" applyAlignment="1">
      <alignment horizontal="center"/>
      <protection/>
    </xf>
    <xf numFmtId="0" fontId="23" fillId="0" borderId="0" xfId="147" applyNumberFormat="1" applyFont="1" applyAlignment="1">
      <alignment horizontal="center"/>
      <protection/>
    </xf>
    <xf numFmtId="0" fontId="7" fillId="0" borderId="20" xfId="147" applyFont="1" applyFill="1" applyBorder="1" applyAlignment="1">
      <alignment horizontal="center" vertical="center" wrapText="1"/>
      <protection/>
    </xf>
    <xf numFmtId="0" fontId="18" fillId="0" borderId="0" xfId="147" applyFont="1" applyBorder="1" applyAlignment="1">
      <alignment horizontal="left"/>
      <protection/>
    </xf>
    <xf numFmtId="0" fontId="13" fillId="0" borderId="0" xfId="147" applyFont="1" applyAlignment="1">
      <alignment horizontal="center"/>
      <protection/>
    </xf>
    <xf numFmtId="49" fontId="30" fillId="0" borderId="0" xfId="147" applyNumberFormat="1" applyFont="1" applyBorder="1" applyAlignment="1">
      <alignment horizontal="justify" vertical="justify" wrapText="1"/>
      <protection/>
    </xf>
    <xf numFmtId="0" fontId="28" fillId="47" borderId="0" xfId="147" applyFont="1" applyFill="1" applyBorder="1" applyAlignment="1">
      <alignment horizontal="center"/>
      <protection/>
    </xf>
    <xf numFmtId="49" fontId="7" fillId="0" borderId="35" xfId="147" applyNumberFormat="1" applyFont="1" applyFill="1" applyBorder="1" applyAlignment="1">
      <alignment horizontal="center" vertical="center"/>
      <protection/>
    </xf>
    <xf numFmtId="49" fontId="7" fillId="0" borderId="36" xfId="147" applyNumberFormat="1" applyFont="1" applyFill="1" applyBorder="1" applyAlignment="1">
      <alignment horizontal="center" vertical="center"/>
      <protection/>
    </xf>
    <xf numFmtId="49" fontId="7" fillId="0" borderId="24" xfId="147" applyNumberFormat="1" applyFont="1" applyFill="1" applyBorder="1" applyAlignment="1">
      <alignment horizontal="center" vertical="center"/>
      <protection/>
    </xf>
    <xf numFmtId="49" fontId="7" fillId="0" borderId="39" xfId="147" applyNumberFormat="1" applyFont="1" applyFill="1" applyBorder="1" applyAlignment="1">
      <alignment horizontal="center" vertical="center"/>
      <protection/>
    </xf>
    <xf numFmtId="49" fontId="7" fillId="0" borderId="27" xfId="147" applyNumberFormat="1" applyFont="1" applyFill="1" applyBorder="1" applyAlignment="1">
      <alignment horizontal="center" vertical="center"/>
      <protection/>
    </xf>
    <xf numFmtId="49" fontId="7" fillId="0" borderId="37" xfId="147" applyNumberFormat="1" applyFont="1" applyFill="1" applyBorder="1" applyAlignment="1">
      <alignment horizontal="center" vertical="center"/>
      <protection/>
    </xf>
    <xf numFmtId="0" fontId="25" fillId="0" borderId="0" xfId="147"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00" fillId="0" borderId="21" xfId="135" applyFont="1" applyFill="1" applyBorder="1" applyAlignment="1">
      <alignment horizontal="center" vertical="center" wrapText="1"/>
      <protection/>
    </xf>
    <xf numFmtId="0" fontId="100" fillId="0" borderId="38" xfId="135"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1" fontId="100"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00"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49" fontId="100" fillId="0" borderId="20"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0" fontId="100" fillId="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107"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104" fillId="0" borderId="20" xfId="0" applyNumberFormat="1" applyFont="1" applyFill="1" applyBorder="1" applyAlignment="1">
      <alignment horizontal="center" vertical="center" wrapText="1"/>
    </xf>
    <xf numFmtId="49" fontId="104" fillId="0" borderId="20" xfId="0" applyNumberFormat="1" applyFont="1" applyFill="1" applyBorder="1" applyAlignment="1" applyProtection="1">
      <alignment horizontal="center" vertical="center" wrapText="1"/>
      <protection/>
    </xf>
    <xf numFmtId="0" fontId="104"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05" fillId="0" borderId="43"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1" fontId="104"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194" fontId="5" fillId="47" borderId="20" xfId="0" applyNumberFormat="1" applyFont="1" applyFill="1" applyBorder="1" applyAlignment="1" applyProtection="1">
      <alignment horizontal="right" vertical="center"/>
      <protection/>
    </xf>
    <xf numFmtId="10" fontId="134" fillId="0" borderId="20" xfId="157" applyNumberFormat="1" applyFont="1" applyFill="1" applyBorder="1" applyAlignment="1">
      <alignment/>
    </xf>
    <xf numFmtId="49" fontId="134" fillId="50" borderId="20" xfId="0" applyNumberFormat="1" applyFont="1" applyFill="1" applyBorder="1" applyAlignment="1" applyProtection="1">
      <alignment horizontal="center" vertical="center"/>
      <protection/>
    </xf>
    <xf numFmtId="49" fontId="134" fillId="50" borderId="20" xfId="0" applyNumberFormat="1" applyFont="1" applyFill="1" applyBorder="1" applyAlignment="1" applyProtection="1">
      <alignment vertical="center"/>
      <protection/>
    </xf>
    <xf numFmtId="194" fontId="134" fillId="50" borderId="20" xfId="0" applyNumberFormat="1" applyFont="1" applyFill="1" applyBorder="1" applyAlignment="1" applyProtection="1">
      <alignment horizontal="right" vertical="center"/>
      <protection/>
    </xf>
    <xf numFmtId="49" fontId="134" fillId="50" borderId="20" xfId="0" applyNumberFormat="1" applyFont="1" applyFill="1" applyBorder="1" applyAlignment="1">
      <alignment vertical="center"/>
    </xf>
    <xf numFmtId="194" fontId="134" fillId="47" borderId="20" xfId="0" applyNumberFormat="1" applyFont="1" applyFill="1" applyBorder="1" applyAlignment="1" applyProtection="1">
      <alignment horizontal="right" vertical="center"/>
      <protection/>
    </xf>
    <xf numFmtId="49" fontId="134" fillId="50" borderId="20" xfId="138" applyNumberFormat="1" applyFont="1" applyFill="1" applyBorder="1" applyAlignment="1" applyProtection="1">
      <alignment vertical="center"/>
      <protection/>
    </xf>
    <xf numFmtId="3" fontId="134" fillId="0" borderId="20" xfId="144" applyNumberFormat="1" applyFont="1" applyFill="1" applyBorder="1" applyAlignment="1" applyProtection="1">
      <alignment horizontal="center" vertical="center"/>
      <protection locked="0"/>
    </xf>
    <xf numFmtId="0" fontId="134" fillId="50" borderId="20" xfId="138" applyFont="1" applyFill="1" applyBorder="1" applyAlignment="1">
      <alignment horizontal="left" vertical="center"/>
      <protection/>
    </xf>
    <xf numFmtId="3" fontId="134" fillId="0" borderId="20" xfId="144" applyNumberFormat="1" applyFont="1" applyFill="1" applyBorder="1" applyAlignment="1" applyProtection="1">
      <alignment horizontal="center" vertical="center"/>
      <protection/>
    </xf>
    <xf numFmtId="49" fontId="134" fillId="50" borderId="20" xfId="0" applyNumberFormat="1" applyFont="1" applyFill="1" applyBorder="1" applyAlignment="1">
      <alignment/>
    </xf>
    <xf numFmtId="194" fontId="134" fillId="47" borderId="20" xfId="99" applyNumberFormat="1" applyFont="1" applyFill="1" applyBorder="1" applyAlignment="1" applyProtection="1">
      <alignment horizontal="center" vertical="center"/>
      <protection/>
    </xf>
    <xf numFmtId="194" fontId="134" fillId="47" borderId="20" xfId="0" applyNumberFormat="1" applyFont="1" applyFill="1" applyBorder="1" applyAlignment="1" applyProtection="1">
      <alignment horizontal="center" vertical="center"/>
      <protection/>
    </xf>
    <xf numFmtId="49" fontId="134" fillId="0" borderId="20" xfId="144" applyNumberFormat="1" applyFont="1" applyFill="1" applyBorder="1" applyAlignment="1" applyProtection="1">
      <alignment vertical="center" wrapText="1"/>
      <protection locked="0"/>
    </xf>
    <xf numFmtId="41" fontId="134" fillId="47" borderId="20" xfId="0" applyNumberFormat="1" applyFont="1" applyFill="1" applyBorder="1" applyAlignment="1" applyProtection="1">
      <alignment horizontal="center" vertical="center"/>
      <protection locked="0"/>
    </xf>
    <xf numFmtId="41" fontId="134" fillId="47" borderId="20" xfId="0" applyNumberFormat="1" applyFont="1" applyFill="1" applyBorder="1" applyAlignment="1" applyProtection="1">
      <alignment horizontal="center" vertical="center"/>
      <protection/>
    </xf>
    <xf numFmtId="49" fontId="134" fillId="0" borderId="20" xfId="144" applyNumberFormat="1" applyFont="1" applyFill="1" applyBorder="1" applyAlignment="1" applyProtection="1">
      <alignment vertical="center"/>
      <protection locked="0"/>
    </xf>
    <xf numFmtId="41" fontId="134" fillId="47" borderId="21" xfId="0" applyNumberFormat="1" applyFont="1" applyFill="1" applyBorder="1" applyAlignment="1" applyProtection="1">
      <alignment horizontal="center" vertical="center"/>
      <protection locked="0"/>
    </xf>
    <xf numFmtId="49" fontId="134" fillId="0" borderId="20" xfId="0" applyNumberFormat="1" applyFont="1" applyFill="1" applyBorder="1" applyAlignment="1">
      <alignment/>
    </xf>
    <xf numFmtId="210" fontId="134" fillId="50" borderId="20" xfId="0" applyNumberFormat="1" applyFont="1" applyFill="1" applyBorder="1" applyAlignment="1">
      <alignment horizontal="right" vertical="center"/>
    </xf>
    <xf numFmtId="49" fontId="5"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lignment/>
    </xf>
    <xf numFmtId="49" fontId="5" fillId="50" borderId="20" xfId="136" applyNumberFormat="1" applyFont="1" applyFill="1" applyBorder="1" applyAlignment="1" applyProtection="1">
      <alignment vertical="center"/>
      <protection/>
    </xf>
    <xf numFmtId="194" fontId="5" fillId="50" borderId="20" xfId="136" applyNumberFormat="1" applyFont="1" applyFill="1" applyBorder="1" applyAlignment="1" applyProtection="1">
      <alignment horizontal="right" vertical="center"/>
      <protection/>
    </xf>
    <xf numFmtId="0" fontId="5" fillId="50" borderId="20" xfId="136" applyFont="1" applyFill="1" applyBorder="1" applyAlignment="1">
      <alignment vertical="center"/>
      <protection/>
    </xf>
    <xf numFmtId="49" fontId="5" fillId="50" borderId="20" xfId="136" applyNumberFormat="1" applyFont="1" applyFill="1" applyBorder="1" applyAlignment="1">
      <alignment vertical="center"/>
      <protection/>
    </xf>
    <xf numFmtId="194" fontId="5" fillId="50" borderId="20" xfId="0" applyNumberFormat="1" applyFont="1" applyFill="1" applyBorder="1" applyAlignment="1">
      <alignment horizontal="right" vertical="center"/>
    </xf>
    <xf numFmtId="49" fontId="5" fillId="47" borderId="20" xfId="0" applyNumberFormat="1" applyFont="1" applyFill="1" applyBorder="1" applyAlignment="1" applyProtection="1">
      <alignment vertical="center"/>
      <protection/>
    </xf>
    <xf numFmtId="49" fontId="5" fillId="0" borderId="20" xfId="144" applyNumberFormat="1" applyFont="1" applyFill="1" applyBorder="1" applyAlignment="1" applyProtection="1">
      <alignment vertical="center" wrapText="1"/>
      <protection locked="0"/>
    </xf>
    <xf numFmtId="49" fontId="5" fillId="0" borderId="20" xfId="144" applyNumberFormat="1" applyFont="1" applyFill="1" applyBorder="1" applyAlignment="1" applyProtection="1">
      <alignment vertical="center"/>
      <protection locked="0"/>
    </xf>
    <xf numFmtId="49" fontId="5" fillId="0" borderId="20" xfId="0" applyNumberFormat="1" applyFont="1" applyFill="1" applyBorder="1" applyAlignment="1" applyProtection="1">
      <alignment/>
      <protection locked="0"/>
    </xf>
    <xf numFmtId="49" fontId="134" fillId="50" borderId="26" xfId="0" applyNumberFormat="1" applyFont="1" applyFill="1" applyBorder="1" applyAlignment="1" applyProtection="1">
      <alignment horizontal="center" vertical="center" wrapText="1"/>
      <protection/>
    </xf>
    <xf numFmtId="49" fontId="134" fillId="50" borderId="25" xfId="0" applyNumberFormat="1" applyFont="1" applyFill="1" applyBorder="1" applyAlignment="1" applyProtection="1">
      <alignment horizontal="center" vertical="center" wrapText="1"/>
      <protection/>
    </xf>
    <xf numFmtId="194" fontId="134" fillId="50" borderId="20" xfId="0" applyNumberFormat="1" applyFont="1" applyFill="1" applyBorder="1" applyAlignment="1">
      <alignment horizontal="right"/>
    </xf>
    <xf numFmtId="49" fontId="134" fillId="47" borderId="20" xfId="138" applyNumberFormat="1" applyFont="1" applyFill="1" applyBorder="1" applyAlignment="1" applyProtection="1">
      <alignment vertical="center"/>
      <protection/>
    </xf>
    <xf numFmtId="49" fontId="134" fillId="47" borderId="20" xfId="0" applyNumberFormat="1" applyFont="1" applyFill="1" applyBorder="1" applyAlignment="1" applyProtection="1">
      <alignment horizontal="center" vertical="center"/>
      <protection/>
    </xf>
    <xf numFmtId="0" fontId="134" fillId="47" borderId="20" xfId="138" applyFont="1" applyFill="1" applyBorder="1" applyAlignment="1">
      <alignment horizontal="left" vertical="center"/>
      <protection/>
    </xf>
    <xf numFmtId="49" fontId="134" fillId="47" borderId="20" xfId="138" applyNumberFormat="1" applyFont="1" applyFill="1" applyBorder="1">
      <alignment/>
      <protection/>
    </xf>
    <xf numFmtId="194" fontId="134" fillId="0" borderId="20" xfId="0" applyNumberFormat="1" applyFont="1" applyFill="1" applyBorder="1" applyAlignment="1" applyProtection="1">
      <alignment horizontal="right" vertical="center"/>
      <protection/>
    </xf>
    <xf numFmtId="194" fontId="134" fillId="50" borderId="20" xfId="0" applyNumberFormat="1" applyFont="1" applyFill="1" applyBorder="1" applyAlignment="1">
      <alignment horizontal="right" vertical="center"/>
    </xf>
    <xf numFmtId="194" fontId="134" fillId="47" borderId="20" xfId="99" applyNumberFormat="1" applyFont="1" applyFill="1" applyBorder="1" applyAlignment="1">
      <alignment horizontal="center"/>
    </xf>
    <xf numFmtId="0" fontId="134" fillId="52" borderId="20" xfId="0" applyFont="1" applyFill="1" applyBorder="1" applyAlignment="1">
      <alignment vertical="center" wrapText="1"/>
    </xf>
    <xf numFmtId="3" fontId="134" fillId="52" borderId="20" xfId="0" applyNumberFormat="1" applyFont="1" applyFill="1" applyBorder="1" applyAlignment="1">
      <alignment vertical="center" wrapText="1"/>
    </xf>
    <xf numFmtId="49" fontId="6" fillId="50" borderId="20" xfId="0" applyNumberFormat="1" applyFont="1" applyFill="1" applyBorder="1" applyAlignment="1" applyProtection="1">
      <alignment horizontal="center" vertical="center" wrapText="1"/>
      <protection/>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0" fontId="5" fillId="52" borderId="20" xfId="0" applyFont="1" applyFill="1" applyBorder="1" applyAlignment="1">
      <alignment vertical="center" wrapText="1"/>
    </xf>
    <xf numFmtId="1" fontId="5" fillId="52" borderId="20" xfId="0" applyNumberFormat="1" applyFont="1" applyFill="1" applyBorder="1" applyAlignment="1">
      <alignment vertical="center" wrapText="1"/>
    </xf>
    <xf numFmtId="49" fontId="104" fillId="0" borderId="25" xfId="0" applyNumberFormat="1" applyFont="1" applyFill="1" applyBorder="1" applyAlignment="1" applyProtection="1">
      <alignment horizontal="center" vertical="center" wrapText="1"/>
      <protection/>
    </xf>
  </cellXfs>
  <cellStyles count="15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Bieu 8 - Bieu 19 toan tinh" xfId="146"/>
    <cellStyle name="Normal_Bieu mau TK tu 11 den 19 (ban phat hanh)" xfId="147"/>
    <cellStyle name="Note" xfId="148"/>
    <cellStyle name="Note 2" xfId="149"/>
    <cellStyle name="Note 3" xfId="150"/>
    <cellStyle name="Output" xfId="151"/>
    <cellStyle name="Output 2" xfId="152"/>
    <cellStyle name="Output 3" xfId="153"/>
    <cellStyle name="Percent" xfId="154"/>
    <cellStyle name="Percent 2" xfId="155"/>
    <cellStyle name="Percent 2 2" xfId="156"/>
    <cellStyle name="Percent 2 3" xfId="157"/>
    <cellStyle name="Percent 3" xfId="158"/>
    <cellStyle name="Percent 4" xfId="159"/>
    <cellStyle name="Percent 5" xfId="160"/>
    <cellStyle name="Title" xfId="161"/>
    <cellStyle name="Title 2" xfId="162"/>
    <cellStyle name="Title 3" xfId="163"/>
    <cellStyle name="Total" xfId="164"/>
    <cellStyle name="Total 2" xfId="165"/>
    <cellStyle name="Total 3" xfId="166"/>
    <cellStyle name="Warning Text" xfId="167"/>
    <cellStyle name="Warning Text 2" xfId="168"/>
    <cellStyle name="Warning Text 3"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764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764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90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90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38" t="s">
        <v>26</v>
      </c>
      <c r="B1" s="538"/>
      <c r="C1" s="537" t="s">
        <v>74</v>
      </c>
      <c r="D1" s="537"/>
      <c r="E1" s="537"/>
      <c r="F1" s="539" t="s">
        <v>70</v>
      </c>
      <c r="G1" s="539"/>
      <c r="H1" s="539"/>
    </row>
    <row r="2" spans="1:8" ht="33.75" customHeight="1">
      <c r="A2" s="540" t="s">
        <v>77</v>
      </c>
      <c r="B2" s="540"/>
      <c r="C2" s="537"/>
      <c r="D2" s="537"/>
      <c r="E2" s="537"/>
      <c r="F2" s="536" t="s">
        <v>71</v>
      </c>
      <c r="G2" s="536"/>
      <c r="H2" s="536"/>
    </row>
    <row r="3" spans="1:8" ht="19.5" customHeight="1">
      <c r="A3" s="6" t="s">
        <v>65</v>
      </c>
      <c r="B3" s="6"/>
      <c r="C3" s="24"/>
      <c r="D3" s="24"/>
      <c r="E3" s="24"/>
      <c r="F3" s="536" t="s">
        <v>72</v>
      </c>
      <c r="G3" s="536"/>
      <c r="H3" s="536"/>
    </row>
    <row r="4" spans="1:8" s="7" customFormat="1" ht="19.5" customHeight="1">
      <c r="A4" s="6"/>
      <c r="B4" s="6"/>
      <c r="D4" s="8"/>
      <c r="F4" s="9" t="s">
        <v>73</v>
      </c>
      <c r="G4" s="9"/>
      <c r="H4" s="9"/>
    </row>
    <row r="5" spans="1:8" s="23" customFormat="1" ht="36" customHeight="1">
      <c r="A5" s="518" t="s">
        <v>57</v>
      </c>
      <c r="B5" s="519"/>
      <c r="C5" s="522" t="s">
        <v>68</v>
      </c>
      <c r="D5" s="523"/>
      <c r="E5" s="524" t="s">
        <v>67</v>
      </c>
      <c r="F5" s="524"/>
      <c r="G5" s="524"/>
      <c r="H5" s="525"/>
    </row>
    <row r="6" spans="1:8" s="23" customFormat="1" ht="20.25" customHeight="1">
      <c r="A6" s="520"/>
      <c r="B6" s="521"/>
      <c r="C6" s="526" t="s">
        <v>3</v>
      </c>
      <c r="D6" s="526" t="s">
        <v>75</v>
      </c>
      <c r="E6" s="528" t="s">
        <v>69</v>
      </c>
      <c r="F6" s="525"/>
      <c r="G6" s="528" t="s">
        <v>76</v>
      </c>
      <c r="H6" s="525"/>
    </row>
    <row r="7" spans="1:8" s="23" customFormat="1" ht="52.5" customHeight="1">
      <c r="A7" s="520"/>
      <c r="B7" s="521"/>
      <c r="C7" s="527"/>
      <c r="D7" s="527"/>
      <c r="E7" s="5" t="s">
        <v>3</v>
      </c>
      <c r="F7" s="5" t="s">
        <v>9</v>
      </c>
      <c r="G7" s="5" t="s">
        <v>3</v>
      </c>
      <c r="H7" s="5" t="s">
        <v>9</v>
      </c>
    </row>
    <row r="8" spans="1:8" ht="15" customHeight="1">
      <c r="A8" s="530" t="s">
        <v>6</v>
      </c>
      <c r="B8" s="531"/>
      <c r="C8" s="10">
        <v>1</v>
      </c>
      <c r="D8" s="10" t="s">
        <v>44</v>
      </c>
      <c r="E8" s="10" t="s">
        <v>49</v>
      </c>
      <c r="F8" s="10" t="s">
        <v>58</v>
      </c>
      <c r="G8" s="10" t="s">
        <v>59</v>
      </c>
      <c r="H8" s="10" t="s">
        <v>60</v>
      </c>
    </row>
    <row r="9" spans="1:8" ht="26.25" customHeight="1">
      <c r="A9" s="532" t="s">
        <v>33</v>
      </c>
      <c r="B9" s="53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34" t="s">
        <v>56</v>
      </c>
      <c r="C16" s="534"/>
      <c r="D16" s="26"/>
      <c r="E16" s="515" t="s">
        <v>19</v>
      </c>
      <c r="F16" s="515"/>
      <c r="G16" s="515"/>
      <c r="H16" s="515"/>
    </row>
    <row r="17" spans="2:8" ht="15.75" customHeight="1">
      <c r="B17" s="534"/>
      <c r="C17" s="534"/>
      <c r="D17" s="26"/>
      <c r="E17" s="516" t="s">
        <v>38</v>
      </c>
      <c r="F17" s="516"/>
      <c r="G17" s="516"/>
      <c r="H17" s="516"/>
    </row>
    <row r="18" spans="2:8" s="27" customFormat="1" ht="15.75" customHeight="1">
      <c r="B18" s="534"/>
      <c r="C18" s="534"/>
      <c r="D18" s="28"/>
      <c r="E18" s="517" t="s">
        <v>55</v>
      </c>
      <c r="F18" s="517"/>
      <c r="G18" s="517"/>
      <c r="H18" s="517"/>
    </row>
    <row r="20" ht="15.75">
      <c r="B20" s="19"/>
    </row>
    <row r="22" ht="15.75" hidden="1">
      <c r="A22" s="20" t="s">
        <v>41</v>
      </c>
    </row>
    <row r="23" spans="1:3" ht="15.75" hidden="1">
      <c r="A23" s="21"/>
      <c r="B23" s="535" t="s">
        <v>50</v>
      </c>
      <c r="C23" s="535"/>
    </row>
    <row r="24" spans="1:8" ht="15.75" customHeight="1" hidden="1">
      <c r="A24" s="22" t="s">
        <v>25</v>
      </c>
      <c r="B24" s="529" t="s">
        <v>53</v>
      </c>
      <c r="C24" s="529"/>
      <c r="D24" s="22"/>
      <c r="E24" s="22"/>
      <c r="F24" s="22"/>
      <c r="G24" s="22"/>
      <c r="H24" s="22"/>
    </row>
    <row r="25" spans="1:8" ht="15" customHeight="1" hidden="1">
      <c r="A25" s="22"/>
      <c r="B25" s="529" t="s">
        <v>54</v>
      </c>
      <c r="C25" s="529"/>
      <c r="D25" s="529"/>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10" t="s">
        <v>232</v>
      </c>
      <c r="B1" s="710"/>
      <c r="C1" s="710"/>
      <c r="D1" s="713" t="s">
        <v>344</v>
      </c>
      <c r="E1" s="713"/>
      <c r="F1" s="713"/>
      <c r="G1" s="713"/>
      <c r="H1" s="713"/>
      <c r="I1" s="713"/>
      <c r="J1" s="191" t="s">
        <v>345</v>
      </c>
      <c r="K1" s="322"/>
      <c r="L1" s="322"/>
    </row>
    <row r="2" spans="1:12" ht="18.75" customHeight="1">
      <c r="A2" s="711" t="s">
        <v>303</v>
      </c>
      <c r="B2" s="711"/>
      <c r="C2" s="711"/>
      <c r="D2" s="795" t="s">
        <v>233</v>
      </c>
      <c r="E2" s="795"/>
      <c r="F2" s="795"/>
      <c r="G2" s="795"/>
      <c r="H2" s="795"/>
      <c r="I2" s="795"/>
      <c r="J2" s="710" t="s">
        <v>346</v>
      </c>
      <c r="K2" s="710"/>
      <c r="L2" s="710"/>
    </row>
    <row r="3" spans="1:12" ht="17.25">
      <c r="A3" s="711" t="s">
        <v>255</v>
      </c>
      <c r="B3" s="711"/>
      <c r="C3" s="711"/>
      <c r="D3" s="796" t="s">
        <v>347</v>
      </c>
      <c r="E3" s="797"/>
      <c r="F3" s="797"/>
      <c r="G3" s="797"/>
      <c r="H3" s="797"/>
      <c r="I3" s="797"/>
      <c r="J3" s="194" t="s">
        <v>363</v>
      </c>
      <c r="K3" s="194"/>
      <c r="L3" s="194"/>
    </row>
    <row r="4" spans="1:12" ht="15.75">
      <c r="A4" s="799" t="s">
        <v>348</v>
      </c>
      <c r="B4" s="799"/>
      <c r="C4" s="799"/>
      <c r="D4" s="800"/>
      <c r="E4" s="800"/>
      <c r="F4" s="800"/>
      <c r="G4" s="800"/>
      <c r="H4" s="800"/>
      <c r="I4" s="800"/>
      <c r="J4" s="697" t="s">
        <v>305</v>
      </c>
      <c r="K4" s="697"/>
      <c r="L4" s="697"/>
    </row>
    <row r="5" spans="1:13" ht="15.75">
      <c r="A5" s="324"/>
      <c r="B5" s="324"/>
      <c r="C5" s="325"/>
      <c r="D5" s="325"/>
      <c r="E5" s="193"/>
      <c r="J5" s="326" t="s">
        <v>349</v>
      </c>
      <c r="K5" s="241"/>
      <c r="L5" s="241"/>
      <c r="M5" s="241"/>
    </row>
    <row r="6" spans="1:13" s="329" customFormat="1" ht="24.75" customHeight="1">
      <c r="A6" s="803" t="s">
        <v>57</v>
      </c>
      <c r="B6" s="804"/>
      <c r="C6" s="798" t="s">
        <v>350</v>
      </c>
      <c r="D6" s="798"/>
      <c r="E6" s="798"/>
      <c r="F6" s="798"/>
      <c r="G6" s="798"/>
      <c r="H6" s="798"/>
      <c r="I6" s="798" t="s">
        <v>234</v>
      </c>
      <c r="J6" s="798"/>
      <c r="K6" s="798"/>
      <c r="L6" s="798"/>
      <c r="M6" s="328"/>
    </row>
    <row r="7" spans="1:13" s="329" customFormat="1" ht="17.25" customHeight="1">
      <c r="A7" s="805"/>
      <c r="B7" s="806"/>
      <c r="C7" s="798" t="s">
        <v>31</v>
      </c>
      <c r="D7" s="798"/>
      <c r="E7" s="798" t="s">
        <v>7</v>
      </c>
      <c r="F7" s="798"/>
      <c r="G7" s="798"/>
      <c r="H7" s="798"/>
      <c r="I7" s="798" t="s">
        <v>235</v>
      </c>
      <c r="J7" s="798"/>
      <c r="K7" s="798" t="s">
        <v>236</v>
      </c>
      <c r="L7" s="798"/>
      <c r="M7" s="328"/>
    </row>
    <row r="8" spans="1:12" s="329" customFormat="1" ht="27.75" customHeight="1">
      <c r="A8" s="805"/>
      <c r="B8" s="806"/>
      <c r="C8" s="798"/>
      <c r="D8" s="798"/>
      <c r="E8" s="798" t="s">
        <v>237</v>
      </c>
      <c r="F8" s="798"/>
      <c r="G8" s="798" t="s">
        <v>238</v>
      </c>
      <c r="H8" s="798"/>
      <c r="I8" s="798"/>
      <c r="J8" s="798"/>
      <c r="K8" s="798"/>
      <c r="L8" s="798"/>
    </row>
    <row r="9" spans="1:12" s="329" customFormat="1" ht="24.75" customHeight="1">
      <c r="A9" s="807"/>
      <c r="B9" s="808"/>
      <c r="C9" s="327" t="s">
        <v>239</v>
      </c>
      <c r="D9" s="327" t="s">
        <v>9</v>
      </c>
      <c r="E9" s="327" t="s">
        <v>3</v>
      </c>
      <c r="F9" s="327" t="s">
        <v>240</v>
      </c>
      <c r="G9" s="327" t="s">
        <v>3</v>
      </c>
      <c r="H9" s="327" t="s">
        <v>240</v>
      </c>
      <c r="I9" s="327" t="s">
        <v>3</v>
      </c>
      <c r="J9" s="327" t="s">
        <v>240</v>
      </c>
      <c r="K9" s="327" t="s">
        <v>3</v>
      </c>
      <c r="L9" s="327" t="s">
        <v>240</v>
      </c>
    </row>
    <row r="10" spans="1:12" s="331" customFormat="1" ht="15.75">
      <c r="A10" s="731" t="s">
        <v>6</v>
      </c>
      <c r="B10" s="732"/>
      <c r="C10" s="330">
        <v>1</v>
      </c>
      <c r="D10" s="330">
        <v>2</v>
      </c>
      <c r="E10" s="330">
        <v>3</v>
      </c>
      <c r="F10" s="330">
        <v>4</v>
      </c>
      <c r="G10" s="330">
        <v>5</v>
      </c>
      <c r="H10" s="330">
        <v>6</v>
      </c>
      <c r="I10" s="330">
        <v>7</v>
      </c>
      <c r="J10" s="330">
        <v>8</v>
      </c>
      <c r="K10" s="330">
        <v>9</v>
      </c>
      <c r="L10" s="330">
        <v>10</v>
      </c>
    </row>
    <row r="11" spans="1:12" s="331" customFormat="1" ht="30.75" customHeight="1">
      <c r="A11" s="721" t="s">
        <v>300</v>
      </c>
      <c r="B11" s="722"/>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24" t="s">
        <v>301</v>
      </c>
      <c r="B12" s="725"/>
      <c r="C12" s="249">
        <v>0</v>
      </c>
      <c r="D12" s="249">
        <v>0</v>
      </c>
      <c r="E12" s="249">
        <v>0</v>
      </c>
      <c r="F12" s="249">
        <v>0</v>
      </c>
      <c r="G12" s="249">
        <v>0</v>
      </c>
      <c r="H12" s="249">
        <v>0</v>
      </c>
      <c r="I12" s="249">
        <v>0</v>
      </c>
      <c r="J12" s="249">
        <v>0</v>
      </c>
      <c r="K12" s="249">
        <v>0</v>
      </c>
      <c r="L12" s="249">
        <v>0</v>
      </c>
    </row>
    <row r="13" spans="1:32" s="331" customFormat="1" ht="17.25" customHeight="1">
      <c r="A13" s="727" t="s">
        <v>30</v>
      </c>
      <c r="B13" s="70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270</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302</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273</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274</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275</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276</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281</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283</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284</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285</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287</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19" t="s">
        <v>288</v>
      </c>
      <c r="C28" s="719"/>
      <c r="D28" s="719"/>
      <c r="E28" s="204"/>
      <c r="F28" s="258"/>
      <c r="G28" s="258"/>
      <c r="H28" s="718" t="s">
        <v>288</v>
      </c>
      <c r="I28" s="718"/>
      <c r="J28" s="718"/>
      <c r="K28" s="718"/>
      <c r="L28" s="718"/>
      <c r="AG28" s="192" t="s">
        <v>289</v>
      </c>
      <c r="AI28" s="190">
        <f>82/88</f>
        <v>0.9318181818181818</v>
      </c>
    </row>
    <row r="29" spans="1:12" s="192" customFormat="1" ht="19.5" customHeight="1">
      <c r="A29" s="202"/>
      <c r="B29" s="720" t="s">
        <v>241</v>
      </c>
      <c r="C29" s="720"/>
      <c r="D29" s="720"/>
      <c r="E29" s="204"/>
      <c r="F29" s="205"/>
      <c r="G29" s="205"/>
      <c r="H29" s="723" t="s">
        <v>159</v>
      </c>
      <c r="I29" s="723"/>
      <c r="J29" s="723"/>
      <c r="K29" s="723"/>
      <c r="L29" s="723"/>
    </row>
    <row r="30" spans="1:12" s="196" customFormat="1" ht="15" customHeight="1">
      <c r="A30" s="202"/>
      <c r="B30" s="802"/>
      <c r="C30" s="802"/>
      <c r="D30" s="802"/>
      <c r="E30" s="204"/>
      <c r="F30" s="205"/>
      <c r="G30" s="205"/>
      <c r="H30" s="675"/>
      <c r="I30" s="675"/>
      <c r="J30" s="675"/>
      <c r="K30" s="675"/>
      <c r="L30" s="675"/>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09" t="s">
        <v>292</v>
      </c>
      <c r="C33" s="809"/>
      <c r="D33" s="809"/>
      <c r="E33" s="336"/>
      <c r="F33" s="336"/>
      <c r="G33" s="336"/>
      <c r="H33" s="336"/>
      <c r="I33" s="336"/>
      <c r="J33" s="337" t="s">
        <v>292</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01" t="s">
        <v>242</v>
      </c>
      <c r="C37" s="801"/>
      <c r="D37" s="801"/>
      <c r="E37" s="801"/>
      <c r="F37" s="801"/>
      <c r="G37" s="801"/>
      <c r="H37" s="801"/>
      <c r="I37" s="801"/>
      <c r="J37" s="801"/>
      <c r="K37" s="339"/>
      <c r="L37" s="294"/>
      <c r="M37" s="265"/>
      <c r="N37" s="265"/>
      <c r="O37" s="265"/>
    </row>
    <row r="38" spans="2:12" s="184" customFormat="1" ht="18.75" hidden="1">
      <c r="B38" s="236" t="s">
        <v>243</v>
      </c>
      <c r="C38" s="186"/>
      <c r="D38" s="186"/>
      <c r="E38" s="186"/>
      <c r="F38" s="186"/>
      <c r="G38" s="186"/>
      <c r="H38" s="186"/>
      <c r="I38" s="186"/>
      <c r="J38" s="186"/>
      <c r="K38" s="338"/>
      <c r="L38" s="186"/>
    </row>
    <row r="39" spans="2:12" ht="18.75" hidden="1">
      <c r="B39" s="340" t="s">
        <v>244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72" t="s">
        <v>334</v>
      </c>
      <c r="C41" s="572"/>
      <c r="D41" s="572"/>
      <c r="E41" s="210"/>
      <c r="F41" s="210"/>
      <c r="G41" s="182"/>
      <c r="H41" s="573" t="s">
        <v>249</v>
      </c>
      <c r="I41" s="573"/>
      <c r="J41" s="573"/>
      <c r="K41" s="573"/>
      <c r="L41" s="573"/>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10" t="s">
        <v>376</v>
      </c>
      <c r="M1" s="811"/>
      <c r="N1" s="811"/>
      <c r="O1" s="365"/>
      <c r="P1" s="365"/>
      <c r="Q1" s="365"/>
      <c r="R1" s="365"/>
      <c r="S1" s="365"/>
      <c r="T1" s="365"/>
      <c r="U1" s="365"/>
      <c r="V1" s="365"/>
      <c r="W1" s="365"/>
      <c r="X1" s="365"/>
      <c r="Y1" s="366"/>
    </row>
    <row r="2" spans="11:17" ht="34.5" customHeight="1">
      <c r="K2" s="349"/>
      <c r="L2" s="812" t="s">
        <v>383</v>
      </c>
      <c r="M2" s="813"/>
      <c r="N2" s="814"/>
      <c r="O2" s="29"/>
      <c r="P2" s="351"/>
      <c r="Q2" s="347"/>
    </row>
    <row r="3" spans="11:18" ht="31.5" customHeight="1">
      <c r="K3" s="349"/>
      <c r="L3" s="354" t="s">
        <v>392</v>
      </c>
      <c r="M3" s="355" t="e">
        <f>#REF!</f>
        <v>#REF!</v>
      </c>
      <c r="N3" s="355"/>
      <c r="O3" s="355"/>
      <c r="P3" s="352"/>
      <c r="Q3" s="348"/>
      <c r="R3" s="345"/>
    </row>
    <row r="4" spans="11:18" ht="30" customHeight="1">
      <c r="K4" s="349"/>
      <c r="L4" s="356" t="s">
        <v>377</v>
      </c>
      <c r="M4" s="357" t="e">
        <f>#REF!</f>
        <v>#REF!</v>
      </c>
      <c r="N4" s="355"/>
      <c r="O4" s="355"/>
      <c r="P4" s="352"/>
      <c r="Q4" s="348"/>
      <c r="R4" s="345"/>
    </row>
    <row r="5" spans="11:18" ht="31.5" customHeight="1">
      <c r="K5" s="349"/>
      <c r="L5" s="356" t="s">
        <v>378</v>
      </c>
      <c r="M5" s="357" t="e">
        <f>#REF!</f>
        <v>#REF!</v>
      </c>
      <c r="N5" s="355"/>
      <c r="O5" s="355"/>
      <c r="P5" s="352"/>
      <c r="Q5" s="348"/>
      <c r="R5" s="345"/>
    </row>
    <row r="6" spans="11:18" ht="27" customHeight="1">
      <c r="K6" s="349"/>
      <c r="L6" s="354" t="s">
        <v>379</v>
      </c>
      <c r="M6" s="355" t="e">
        <f>#REF!</f>
        <v>#REF!</v>
      </c>
      <c r="N6" s="355"/>
      <c r="O6" s="355"/>
      <c r="P6" s="352"/>
      <c r="Q6" s="348"/>
      <c r="R6" s="345"/>
    </row>
    <row r="7" spans="11:18" s="342" customFormat="1" ht="30" customHeight="1">
      <c r="K7" s="350"/>
      <c r="L7" s="358" t="s">
        <v>394</v>
      </c>
      <c r="M7" s="355" t="e">
        <f>#REF!</f>
        <v>#REF!</v>
      </c>
      <c r="N7" s="355"/>
      <c r="O7" s="355"/>
      <c r="P7" s="352"/>
      <c r="Q7" s="348"/>
      <c r="R7" s="345"/>
    </row>
    <row r="8" spans="11:18" ht="30.75" customHeight="1">
      <c r="K8" s="349"/>
      <c r="L8" s="359" t="s">
        <v>393</v>
      </c>
      <c r="M8" s="360">
        <f>'[7]M6 Tong hop Viec CHV '!$C$12</f>
        <v>1489</v>
      </c>
      <c r="N8" s="355"/>
      <c r="O8" s="355"/>
      <c r="P8" s="352"/>
      <c r="Q8" s="348"/>
      <c r="R8" s="345"/>
    </row>
    <row r="9" spans="11:18" ht="33" customHeight="1">
      <c r="K9" s="349"/>
      <c r="L9" s="367" t="s">
        <v>396</v>
      </c>
      <c r="M9" s="368" t="e">
        <f>(M7-M8)/M8</f>
        <v>#REF!</v>
      </c>
      <c r="N9" s="355"/>
      <c r="O9" s="355"/>
      <c r="P9" s="352"/>
      <c r="Q9" s="348"/>
      <c r="R9" s="345"/>
    </row>
    <row r="10" spans="11:18" ht="33" customHeight="1">
      <c r="K10" s="349"/>
      <c r="L10" s="354" t="s">
        <v>395</v>
      </c>
      <c r="M10" s="355" t="e">
        <f>#REF!</f>
        <v>#REF!</v>
      </c>
      <c r="N10" s="355" t="s">
        <v>380</v>
      </c>
      <c r="O10" s="361" t="e">
        <f>M10/M7</f>
        <v>#REF!</v>
      </c>
      <c r="P10" s="352"/>
      <c r="Q10" s="348"/>
      <c r="R10" s="345"/>
    </row>
    <row r="11" spans="11:18" ht="22.5" customHeight="1">
      <c r="K11" s="349"/>
      <c r="L11" s="354" t="s">
        <v>397</v>
      </c>
      <c r="M11" s="355" t="e">
        <f>#REF!</f>
        <v>#REF!</v>
      </c>
      <c r="N11" s="355" t="s">
        <v>380</v>
      </c>
      <c r="O11" s="361" t="e">
        <f>M11/M7</f>
        <v>#REF!</v>
      </c>
      <c r="P11" s="352"/>
      <c r="Q11" s="348"/>
      <c r="R11" s="345"/>
    </row>
    <row r="12" spans="11:18" ht="34.5" customHeight="1">
      <c r="K12" s="349"/>
      <c r="L12" s="354" t="s">
        <v>398</v>
      </c>
      <c r="M12" s="355" t="e">
        <f>#REF!+#REF!</f>
        <v>#REF!</v>
      </c>
      <c r="N12" s="354"/>
      <c r="O12" s="354"/>
      <c r="P12" s="346"/>
      <c r="R12" s="346"/>
    </row>
    <row r="13" spans="11:18" ht="33.75" customHeight="1">
      <c r="K13" s="349"/>
      <c r="L13" s="354" t="s">
        <v>399</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400</v>
      </c>
      <c r="M16" s="360">
        <f>'[7]M6 Tong hop Viec CHV '!$H$12+'[7]M6 Tong hop Viec CHV '!$I$12+'[7]M6 Tong hop Viec CHV '!$K$12</f>
        <v>749</v>
      </c>
      <c r="N16" s="355"/>
      <c r="O16" s="355"/>
      <c r="P16" s="352"/>
      <c r="R16" s="346"/>
    </row>
    <row r="17" spans="11:18" ht="24.75" customHeight="1">
      <c r="K17" s="349"/>
      <c r="L17" s="367" t="s">
        <v>401</v>
      </c>
      <c r="M17" s="362">
        <f>M16/M8</f>
        <v>0.5030221625251847</v>
      </c>
      <c r="N17" s="355"/>
      <c r="O17" s="355"/>
      <c r="P17" s="352"/>
      <c r="R17" s="346"/>
    </row>
    <row r="18" spans="11:18" ht="26.25" customHeight="1">
      <c r="K18" s="349"/>
      <c r="L18" s="367" t="s">
        <v>381</v>
      </c>
      <c r="M18" s="368" t="e">
        <f>M13-M17</f>
        <v>#REF!</v>
      </c>
      <c r="N18" s="355"/>
      <c r="O18" s="355"/>
      <c r="P18" s="352"/>
      <c r="R18" s="346"/>
    </row>
    <row r="19" spans="11:18" ht="24.75" customHeight="1">
      <c r="K19" s="349"/>
      <c r="L19" s="354" t="s">
        <v>402</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403</v>
      </c>
      <c r="M26" s="361" t="e">
        <f>M19/#REF!</f>
        <v>#REF!</v>
      </c>
      <c r="N26" s="355"/>
      <c r="O26" s="355"/>
      <c r="P26" s="352"/>
      <c r="R26" s="346"/>
    </row>
    <row r="27" spans="11:18" ht="24.75" customHeight="1">
      <c r="K27" s="349"/>
      <c r="L27" s="359" t="s">
        <v>404</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405</v>
      </c>
      <c r="M30" s="361" t="e">
        <f>M26-M27</f>
        <v>#REF!</v>
      </c>
      <c r="N30" s="355"/>
      <c r="O30" s="355"/>
      <c r="P30" s="352"/>
      <c r="R30" s="346"/>
    </row>
    <row r="31" spans="11:18" ht="24.75" customHeight="1">
      <c r="K31" s="349"/>
      <c r="L31" s="354" t="s">
        <v>406</v>
      </c>
      <c r="M31" s="355" t="e">
        <f>#REF!</f>
        <v>#REF!</v>
      </c>
      <c r="N31" s="355"/>
      <c r="O31" s="355"/>
      <c r="P31" s="352"/>
      <c r="R31" s="346"/>
    </row>
    <row r="32" spans="11:18" ht="24.75" customHeight="1">
      <c r="K32" s="349"/>
      <c r="L32" s="359" t="s">
        <v>407</v>
      </c>
      <c r="M32" s="360">
        <f>'[7]M6 Tong hop Viec CHV '!$R$12</f>
        <v>719</v>
      </c>
      <c r="N32" s="355"/>
      <c r="O32" s="355"/>
      <c r="P32" s="352"/>
      <c r="R32" s="346"/>
    </row>
    <row r="33" spans="11:18" ht="24.75" customHeight="1">
      <c r="K33" s="349"/>
      <c r="L33" s="367" t="s">
        <v>408</v>
      </c>
      <c r="M33" s="369" t="e">
        <f>M31-M32</f>
        <v>#REF!</v>
      </c>
      <c r="N33" s="369" t="s">
        <v>382</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384</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409</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378</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410</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411</v>
      </c>
      <c r="M50" s="355" t="e">
        <f>#REF!</f>
        <v>#REF!</v>
      </c>
      <c r="N50" s="355"/>
      <c r="O50" s="355"/>
      <c r="P50" s="346"/>
      <c r="R50" s="346"/>
    </row>
    <row r="51" spans="11:18" ht="24.75" customHeight="1">
      <c r="K51" s="349"/>
      <c r="L51" s="364" t="s">
        <v>412</v>
      </c>
      <c r="M51" s="360">
        <f>'[7]M7 Thop tien CHV'!$C$12</f>
        <v>54227822.442</v>
      </c>
      <c r="N51" s="355"/>
      <c r="O51" s="355"/>
      <c r="P51" s="346"/>
      <c r="R51" s="346"/>
    </row>
    <row r="52" spans="11:18" ht="24.75" customHeight="1">
      <c r="K52" s="349"/>
      <c r="L52" s="377" t="s">
        <v>385</v>
      </c>
      <c r="M52" s="369" t="e">
        <f>M50-M51</f>
        <v>#REF!</v>
      </c>
      <c r="N52" s="355"/>
      <c r="O52" s="355"/>
      <c r="P52" s="346"/>
      <c r="R52" s="346"/>
    </row>
    <row r="53" spans="11:18" ht="24.75" customHeight="1">
      <c r="K53" s="349"/>
      <c r="L53" s="377" t="s">
        <v>386</v>
      </c>
      <c r="M53" s="368" t="e">
        <f>(M52/M51)</f>
        <v>#REF!</v>
      </c>
      <c r="N53" s="355"/>
      <c r="O53" s="355"/>
      <c r="P53" s="346"/>
      <c r="R53" s="346"/>
    </row>
    <row r="54" spans="11:18" ht="24.75" customHeight="1">
      <c r="K54" s="349"/>
      <c r="L54" s="363" t="s">
        <v>413</v>
      </c>
      <c r="M54" s="355" t="e">
        <f>#REF!</f>
        <v>#REF!</v>
      </c>
      <c r="N54" s="355" t="s">
        <v>387</v>
      </c>
      <c r="O54" s="361" t="e">
        <f>#REF!/#REF!</f>
        <v>#REF!</v>
      </c>
      <c r="P54" s="346"/>
      <c r="R54" s="346"/>
    </row>
    <row r="55" spans="11:18" ht="24.75" customHeight="1">
      <c r="K55" s="349"/>
      <c r="L55" s="363" t="s">
        <v>414</v>
      </c>
      <c r="M55" s="355" t="e">
        <f>#REF!</f>
        <v>#REF!</v>
      </c>
      <c r="N55" s="355" t="s">
        <v>387</v>
      </c>
      <c r="O55" s="361" t="e">
        <f>#REF!/#REF!</f>
        <v>#REF!</v>
      </c>
      <c r="P55" s="346"/>
      <c r="R55" s="346"/>
    </row>
    <row r="56" spans="11:18" ht="24.75" customHeight="1">
      <c r="K56" s="349"/>
      <c r="L56" s="363" t="s">
        <v>415</v>
      </c>
      <c r="M56" s="355" t="e">
        <f>#REF!+#REF!+#REF!</f>
        <v>#REF!</v>
      </c>
      <c r="N56" s="355" t="s">
        <v>387</v>
      </c>
      <c r="O56" s="361" t="e">
        <f>M56/#REF!</f>
        <v>#REF!</v>
      </c>
      <c r="P56" s="346"/>
      <c r="R56" s="346"/>
    </row>
    <row r="57" spans="11:18" ht="24.75" customHeight="1">
      <c r="K57" s="349"/>
      <c r="L57" s="364" t="s">
        <v>416</v>
      </c>
      <c r="M57" s="360">
        <f>'[7]M7 Thop tien CHV'!$H$12+'[7]M7 Thop tien CHV'!$I$12+'[7]M7 Thop tien CHV'!$K$12</f>
        <v>2217726.5</v>
      </c>
      <c r="N57" s="360" t="s">
        <v>387</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417</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418</v>
      </c>
      <c r="M63" s="355" t="e">
        <f>#REF!</f>
        <v>#REF!</v>
      </c>
      <c r="N63" s="355" t="s">
        <v>388</v>
      </c>
      <c r="O63" s="361" t="e">
        <f>#REF!/#REF!</f>
        <v>#REF!</v>
      </c>
      <c r="P63" s="346"/>
      <c r="R63" s="346"/>
    </row>
    <row r="64" spans="11:16" ht="24.75" customHeight="1">
      <c r="K64" s="349"/>
      <c r="L64" s="364" t="s">
        <v>419</v>
      </c>
      <c r="M64" s="360">
        <f>'[7]M7 Thop tien CHV'!$H$12</f>
        <v>2212774.5</v>
      </c>
      <c r="N64" s="360" t="s">
        <v>389</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420</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421</v>
      </c>
      <c r="M72" s="355" t="e">
        <f>#REF!</f>
        <v>#REF!</v>
      </c>
      <c r="N72" s="355"/>
      <c r="O72" s="355"/>
      <c r="P72" s="346"/>
    </row>
    <row r="73" spans="11:16" ht="24.75" customHeight="1">
      <c r="K73" s="349"/>
      <c r="L73" s="364" t="s">
        <v>422</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390</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391</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tabSelected="1" view="pageBreakPreview" zoomScale="90" zoomScaleSheetLayoutView="90" zoomScalePageLayoutView="0" workbookViewId="0" topLeftCell="A1">
      <selection activeCell="B7" sqref="B7"/>
    </sheetView>
  </sheetViews>
  <sheetFormatPr defaultColWidth="9.00390625" defaultRowHeight="15.75"/>
  <cols>
    <col min="1" max="1" width="23.50390625" style="0" customWidth="1"/>
    <col min="2" max="2" width="66.125" style="0" customWidth="1"/>
  </cols>
  <sheetData>
    <row r="2" spans="1:2" ht="62.25" customHeight="1">
      <c r="A2" s="815" t="s">
        <v>431</v>
      </c>
      <c r="B2" s="815"/>
    </row>
    <row r="3" spans="1:2" ht="22.5" customHeight="1">
      <c r="A3" s="383" t="s">
        <v>424</v>
      </c>
      <c r="B3" s="511" t="s">
        <v>565</v>
      </c>
    </row>
    <row r="4" spans="1:2" ht="22.5" customHeight="1">
      <c r="A4" s="383" t="s">
        <v>423</v>
      </c>
      <c r="B4" s="384" t="s">
        <v>433</v>
      </c>
    </row>
    <row r="5" spans="1:2" ht="22.5" customHeight="1">
      <c r="A5" s="383" t="s">
        <v>425</v>
      </c>
      <c r="B5" s="391" t="s">
        <v>434</v>
      </c>
    </row>
    <row r="6" spans="1:2" ht="22.5" customHeight="1">
      <c r="A6" s="383" t="s">
        <v>426</v>
      </c>
      <c r="B6" s="391" t="s">
        <v>435</v>
      </c>
    </row>
    <row r="7" spans="1:2" ht="22.5" customHeight="1">
      <c r="A7" s="383" t="s">
        <v>427</v>
      </c>
      <c r="B7" s="391" t="s">
        <v>573</v>
      </c>
    </row>
    <row r="8" spans="1:2" ht="15.75">
      <c r="A8" s="385" t="s">
        <v>428</v>
      </c>
      <c r="B8" s="392" t="s">
        <v>566</v>
      </c>
    </row>
    <row r="10" spans="1:2" ht="62.25" customHeight="1">
      <c r="A10" s="816" t="s">
        <v>432</v>
      </c>
      <c r="B10" s="816"/>
    </row>
    <row r="11" spans="1:2" ht="15.75">
      <c r="A11" s="817"/>
      <c r="B11" s="817"/>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9"/>
  </sheetPr>
  <dimension ref="A1:AD91"/>
  <sheetViews>
    <sheetView showZeros="0" view="pageBreakPreview" zoomScaleSheetLayoutView="100" zoomScalePageLayoutView="0" workbookViewId="0" topLeftCell="A8">
      <pane xSplit="2" ySplit="4" topLeftCell="C12" activePane="bottomRight" state="frozen"/>
      <selection pane="topLeft" activeCell="G53" sqref="F52:G53"/>
      <selection pane="topRight" activeCell="G53" sqref="F52:G53"/>
      <selection pane="bottomLeft" activeCell="G53" sqref="F52:G53"/>
      <selection pane="bottomRight" activeCell="O21" sqref="O21"/>
    </sheetView>
  </sheetViews>
  <sheetFormatPr defaultColWidth="9.00390625" defaultRowHeight="15.75"/>
  <cols>
    <col min="1" max="1" width="4.75390625" style="23" customWidth="1"/>
    <col min="2" max="2" width="17.25390625" style="23" customWidth="1"/>
    <col min="3" max="20" width="6.625" style="23" customWidth="1"/>
    <col min="21" max="22" width="5.75390625" style="23" customWidth="1"/>
    <col min="23" max="23" width="5.25390625" style="23" customWidth="1"/>
    <col min="24" max="24" width="6.375" style="23" customWidth="1"/>
    <col min="25" max="25" width="4.875" style="23" customWidth="1"/>
    <col min="26" max="28" width="9.00390625" style="23" customWidth="1"/>
    <col min="29" max="29" width="6.25390625" style="23" customWidth="1"/>
    <col min="30" max="16384" width="9.00390625" style="23" customWidth="1"/>
  </cols>
  <sheetData>
    <row r="1" spans="1:22" ht="20.25" customHeight="1">
      <c r="A1" s="404" t="s">
        <v>27</v>
      </c>
      <c r="B1" s="404"/>
      <c r="C1" s="404"/>
      <c r="E1" s="831" t="s">
        <v>66</v>
      </c>
      <c r="F1" s="831"/>
      <c r="G1" s="831"/>
      <c r="H1" s="831"/>
      <c r="I1" s="831"/>
      <c r="J1" s="831"/>
      <c r="K1" s="831"/>
      <c r="L1" s="831"/>
      <c r="M1" s="831"/>
      <c r="N1" s="831"/>
      <c r="O1" s="831"/>
      <c r="P1" s="400" t="s">
        <v>505</v>
      </c>
      <c r="Q1" s="400"/>
      <c r="R1" s="400"/>
      <c r="S1" s="400"/>
      <c r="T1" s="400"/>
      <c r="U1" s="400"/>
      <c r="V1" s="400"/>
    </row>
    <row r="2" spans="1:22" ht="17.25" customHeight="1">
      <c r="A2" s="835" t="s">
        <v>245</v>
      </c>
      <c r="B2" s="835"/>
      <c r="C2" s="835"/>
      <c r="D2" s="835"/>
      <c r="E2" s="832" t="s">
        <v>34</v>
      </c>
      <c r="F2" s="832"/>
      <c r="G2" s="832"/>
      <c r="H2" s="832"/>
      <c r="I2" s="832"/>
      <c r="J2" s="832"/>
      <c r="K2" s="832"/>
      <c r="L2" s="832"/>
      <c r="M2" s="832"/>
      <c r="N2" s="832"/>
      <c r="O2" s="832"/>
      <c r="P2" s="820" t="str">
        <f>'Thong tin'!B4</f>
        <v>CTHADS TRÀ VINH</v>
      </c>
      <c r="Q2" s="820"/>
      <c r="R2" s="820"/>
      <c r="S2" s="820"/>
      <c r="T2" s="427"/>
      <c r="U2" s="427"/>
      <c r="V2" s="427"/>
    </row>
    <row r="3" spans="1:22" ht="19.5" customHeight="1">
      <c r="A3" s="835" t="s">
        <v>246</v>
      </c>
      <c r="B3" s="835"/>
      <c r="C3" s="835"/>
      <c r="D3" s="835"/>
      <c r="E3" s="833" t="str">
        <f>'Thong tin'!B3</f>
        <v>04 tháng / năm 2019</v>
      </c>
      <c r="F3" s="833"/>
      <c r="G3" s="833"/>
      <c r="H3" s="833"/>
      <c r="I3" s="833"/>
      <c r="J3" s="833"/>
      <c r="K3" s="833"/>
      <c r="L3" s="833"/>
      <c r="M3" s="833"/>
      <c r="N3" s="833"/>
      <c r="O3" s="833"/>
      <c r="P3" s="400" t="s">
        <v>504</v>
      </c>
      <c r="Q3" s="404"/>
      <c r="R3" s="400"/>
      <c r="S3" s="400"/>
      <c r="T3" s="400"/>
      <c r="U3" s="400"/>
      <c r="V3" s="400"/>
    </row>
    <row r="4" spans="1:22" ht="14.25" customHeight="1">
      <c r="A4" s="393" t="s">
        <v>125</v>
      </c>
      <c r="B4" s="404"/>
      <c r="C4" s="404"/>
      <c r="D4" s="404"/>
      <c r="E4" s="404"/>
      <c r="F4" s="404"/>
      <c r="G4" s="404"/>
      <c r="H4" s="404"/>
      <c r="I4" s="404"/>
      <c r="J4" s="404"/>
      <c r="K4" s="404"/>
      <c r="L4" s="404"/>
      <c r="M4" s="404"/>
      <c r="N4" s="403"/>
      <c r="O4" s="403"/>
      <c r="P4" s="829" t="s">
        <v>305</v>
      </c>
      <c r="Q4" s="829"/>
      <c r="R4" s="829"/>
      <c r="S4" s="829"/>
      <c r="T4" s="431"/>
      <c r="U4" s="431"/>
      <c r="V4" s="431"/>
    </row>
    <row r="5" spans="2:22" ht="21.75" customHeight="1">
      <c r="B5" s="380"/>
      <c r="C5" s="380"/>
      <c r="Q5" s="402" t="s">
        <v>503</v>
      </c>
      <c r="R5" s="401"/>
      <c r="S5" s="401"/>
      <c r="T5" s="401"/>
      <c r="U5" s="401"/>
      <c r="V5" s="401"/>
    </row>
    <row r="6" spans="1:22" ht="19.5" customHeight="1">
      <c r="A6" s="830" t="s">
        <v>57</v>
      </c>
      <c r="B6" s="830"/>
      <c r="C6" s="824" t="s">
        <v>126</v>
      </c>
      <c r="D6" s="824"/>
      <c r="E6" s="824"/>
      <c r="F6" s="828" t="s">
        <v>101</v>
      </c>
      <c r="G6" s="828" t="s">
        <v>127</v>
      </c>
      <c r="H6" s="821" t="s">
        <v>102</v>
      </c>
      <c r="I6" s="821"/>
      <c r="J6" s="821"/>
      <c r="K6" s="821"/>
      <c r="L6" s="821"/>
      <c r="M6" s="821"/>
      <c r="N6" s="821"/>
      <c r="O6" s="821"/>
      <c r="P6" s="821"/>
      <c r="Q6" s="821"/>
      <c r="R6" s="824" t="s">
        <v>250</v>
      </c>
      <c r="S6" s="824" t="s">
        <v>502</v>
      </c>
      <c r="T6" s="439"/>
      <c r="U6" s="439"/>
      <c r="V6" s="439"/>
    </row>
    <row r="7" spans="1:22" s="400" customFormat="1" ht="27" customHeight="1">
      <c r="A7" s="830"/>
      <c r="B7" s="830"/>
      <c r="C7" s="824" t="s">
        <v>42</v>
      </c>
      <c r="D7" s="824" t="s">
        <v>7</v>
      </c>
      <c r="E7" s="824"/>
      <c r="F7" s="828"/>
      <c r="G7" s="828"/>
      <c r="H7" s="828" t="s">
        <v>102</v>
      </c>
      <c r="I7" s="824" t="s">
        <v>103</v>
      </c>
      <c r="J7" s="824"/>
      <c r="K7" s="824"/>
      <c r="L7" s="824"/>
      <c r="M7" s="824"/>
      <c r="N7" s="824"/>
      <c r="O7" s="824"/>
      <c r="P7" s="824"/>
      <c r="Q7" s="828" t="s">
        <v>112</v>
      </c>
      <c r="R7" s="824"/>
      <c r="S7" s="824"/>
      <c r="T7" s="818" t="s">
        <v>509</v>
      </c>
      <c r="U7" s="818" t="s">
        <v>510</v>
      </c>
      <c r="V7" s="485"/>
    </row>
    <row r="8" spans="1:22" ht="21.75" customHeight="1">
      <c r="A8" s="830"/>
      <c r="B8" s="830"/>
      <c r="C8" s="824"/>
      <c r="D8" s="824" t="s">
        <v>129</v>
      </c>
      <c r="E8" s="824" t="s">
        <v>130</v>
      </c>
      <c r="F8" s="828"/>
      <c r="G8" s="828"/>
      <c r="H8" s="828"/>
      <c r="I8" s="828" t="s">
        <v>501</v>
      </c>
      <c r="J8" s="824" t="s">
        <v>7</v>
      </c>
      <c r="K8" s="824"/>
      <c r="L8" s="824"/>
      <c r="M8" s="824"/>
      <c r="N8" s="824"/>
      <c r="O8" s="824"/>
      <c r="P8" s="824"/>
      <c r="Q8" s="828"/>
      <c r="R8" s="824"/>
      <c r="S8" s="824"/>
      <c r="T8" s="819"/>
      <c r="U8" s="819"/>
      <c r="V8" s="485"/>
    </row>
    <row r="9" spans="1:29" ht="84" customHeight="1">
      <c r="A9" s="830"/>
      <c r="B9" s="830"/>
      <c r="C9" s="824"/>
      <c r="D9" s="824"/>
      <c r="E9" s="824"/>
      <c r="F9" s="828"/>
      <c r="G9" s="828"/>
      <c r="H9" s="828"/>
      <c r="I9" s="828"/>
      <c r="J9" s="437" t="s">
        <v>131</v>
      </c>
      <c r="K9" s="437" t="s">
        <v>132</v>
      </c>
      <c r="L9" s="438" t="s">
        <v>105</v>
      </c>
      <c r="M9" s="438" t="s">
        <v>133</v>
      </c>
      <c r="N9" s="438" t="s">
        <v>108</v>
      </c>
      <c r="O9" s="438" t="s">
        <v>251</v>
      </c>
      <c r="P9" s="438" t="s">
        <v>111</v>
      </c>
      <c r="Q9" s="828"/>
      <c r="R9" s="824"/>
      <c r="S9" s="824"/>
      <c r="T9" s="819"/>
      <c r="U9" s="819"/>
      <c r="V9" s="486" t="s">
        <v>557</v>
      </c>
      <c r="Z9" s="456" t="s">
        <v>559</v>
      </c>
      <c r="AA9" s="456" t="s">
        <v>523</v>
      </c>
      <c r="AB9" s="457" t="s">
        <v>524</v>
      </c>
      <c r="AC9" s="23" t="s">
        <v>528</v>
      </c>
    </row>
    <row r="10" spans="1:29" ht="15" customHeight="1">
      <c r="A10" s="834" t="s">
        <v>6</v>
      </c>
      <c r="B10" s="834"/>
      <c r="C10" s="440">
        <v>1</v>
      </c>
      <c r="D10" s="440">
        <v>2</v>
      </c>
      <c r="E10" s="440">
        <v>3</v>
      </c>
      <c r="F10" s="440">
        <v>4</v>
      </c>
      <c r="G10" s="440">
        <v>5</v>
      </c>
      <c r="H10" s="440">
        <v>6</v>
      </c>
      <c r="I10" s="440">
        <v>7</v>
      </c>
      <c r="J10" s="440">
        <v>8</v>
      </c>
      <c r="K10" s="440">
        <v>9</v>
      </c>
      <c r="L10" s="440">
        <v>10</v>
      </c>
      <c r="M10" s="440">
        <v>11</v>
      </c>
      <c r="N10" s="440">
        <v>12</v>
      </c>
      <c r="O10" s="440">
        <v>13</v>
      </c>
      <c r="P10" s="440">
        <v>14</v>
      </c>
      <c r="Q10" s="440">
        <v>15</v>
      </c>
      <c r="R10" s="440">
        <v>16</v>
      </c>
      <c r="S10" s="440">
        <v>17</v>
      </c>
      <c r="T10" s="440">
        <v>18</v>
      </c>
      <c r="U10" s="440">
        <v>19</v>
      </c>
      <c r="V10" s="440">
        <v>20</v>
      </c>
      <c r="W10" s="440">
        <v>21</v>
      </c>
      <c r="X10" s="440">
        <v>22</v>
      </c>
      <c r="Y10" s="440">
        <v>23</v>
      </c>
      <c r="Z10" s="440">
        <v>24</v>
      </c>
      <c r="AA10" s="440">
        <v>25</v>
      </c>
      <c r="AB10" s="440">
        <v>26</v>
      </c>
      <c r="AC10" s="440">
        <v>27</v>
      </c>
    </row>
    <row r="11" spans="1:29" ht="19.5" customHeight="1">
      <c r="A11" s="893" t="s">
        <v>30</v>
      </c>
      <c r="B11" s="893"/>
      <c r="C11" s="479">
        <f aca="true" t="shared" si="0" ref="C11:R11">+C12+C22</f>
        <v>11736</v>
      </c>
      <c r="D11" s="479">
        <f t="shared" si="0"/>
        <v>7529</v>
      </c>
      <c r="E11" s="479">
        <f t="shared" si="0"/>
        <v>4207</v>
      </c>
      <c r="F11" s="479">
        <f t="shared" si="0"/>
        <v>32</v>
      </c>
      <c r="G11" s="479">
        <f t="shared" si="0"/>
        <v>0</v>
      </c>
      <c r="H11" s="479">
        <f t="shared" si="0"/>
        <v>11704</v>
      </c>
      <c r="I11" s="479">
        <f t="shared" si="0"/>
        <v>8465</v>
      </c>
      <c r="J11" s="479">
        <f t="shared" si="0"/>
        <v>2644</v>
      </c>
      <c r="K11" s="479">
        <f t="shared" si="0"/>
        <v>85</v>
      </c>
      <c r="L11" s="479">
        <f t="shared" si="0"/>
        <v>5658</v>
      </c>
      <c r="M11" s="479">
        <f t="shared" si="0"/>
        <v>45</v>
      </c>
      <c r="N11" s="479">
        <f t="shared" si="0"/>
        <v>5</v>
      </c>
      <c r="O11" s="479">
        <f t="shared" si="0"/>
        <v>0</v>
      </c>
      <c r="P11" s="479">
        <f t="shared" si="0"/>
        <v>28</v>
      </c>
      <c r="Q11" s="479">
        <f t="shared" si="0"/>
        <v>3239</v>
      </c>
      <c r="R11" s="479">
        <f t="shared" si="0"/>
        <v>8975</v>
      </c>
      <c r="S11" s="480">
        <f aca="true" t="shared" si="1" ref="S11:S43">(((J11+K11))/I11)*100</f>
        <v>32.2386296515062</v>
      </c>
      <c r="T11" s="477">
        <f>+I11/H11</f>
        <v>0.723257006151743</v>
      </c>
      <c r="U11" s="478">
        <f>+R11-Q11</f>
        <v>5736</v>
      </c>
      <c r="V11" s="441">
        <f>+V12+V22</f>
        <v>0</v>
      </c>
      <c r="W11" s="454">
        <f aca="true" t="shared" si="2" ref="W11:W47">+C11-(F11+G11+H11)</f>
        <v>0</v>
      </c>
      <c r="X11" s="455">
        <f>+L11+M11+N11+O11+P11+Q11</f>
        <v>8975</v>
      </c>
      <c r="Y11" s="455" t="str">
        <f>+IF(X11=R11,"Đ","S")</f>
        <v>Đ</v>
      </c>
      <c r="Z11" s="458">
        <f>+L11+M11+N11+O11+P11</f>
        <v>5736</v>
      </c>
      <c r="AA11" s="458" t="e">
        <f>+AA12+AA22</f>
        <v>#REF!</v>
      </c>
      <c r="AB11" s="500" t="e">
        <f>(((Z11)-AA11)/AA11)*100</f>
        <v>#REF!</v>
      </c>
      <c r="AC11" s="463" t="e">
        <f>+Z11-AA11</f>
        <v>#REF!</v>
      </c>
    </row>
    <row r="12" spans="1:29" ht="19.5" customHeight="1">
      <c r="A12" s="894" t="s">
        <v>0</v>
      </c>
      <c r="B12" s="416" t="s">
        <v>136</v>
      </c>
      <c r="C12" s="479">
        <f aca="true" t="shared" si="3" ref="C12:R12">+C13+C14+C15+C16+C17+C18+C19+C20+C21</f>
        <v>314</v>
      </c>
      <c r="D12" s="479">
        <f t="shared" si="3"/>
        <v>224</v>
      </c>
      <c r="E12" s="479">
        <f t="shared" si="3"/>
        <v>90</v>
      </c>
      <c r="F12" s="479">
        <f t="shared" si="3"/>
        <v>0</v>
      </c>
      <c r="G12" s="479">
        <f t="shared" si="3"/>
        <v>0</v>
      </c>
      <c r="H12" s="479">
        <f t="shared" si="3"/>
        <v>314</v>
      </c>
      <c r="I12" s="479">
        <f t="shared" si="3"/>
        <v>209</v>
      </c>
      <c r="J12" s="479">
        <f t="shared" si="3"/>
        <v>38</v>
      </c>
      <c r="K12" s="479">
        <f t="shared" si="3"/>
        <v>1</v>
      </c>
      <c r="L12" s="479">
        <f t="shared" si="3"/>
        <v>160</v>
      </c>
      <c r="M12" s="479">
        <f t="shared" si="3"/>
        <v>3</v>
      </c>
      <c r="N12" s="479">
        <f t="shared" si="3"/>
        <v>1</v>
      </c>
      <c r="O12" s="479">
        <f t="shared" si="3"/>
        <v>0</v>
      </c>
      <c r="P12" s="479">
        <f t="shared" si="3"/>
        <v>6</v>
      </c>
      <c r="Q12" s="479">
        <f t="shared" si="3"/>
        <v>105</v>
      </c>
      <c r="R12" s="479">
        <f t="shared" si="3"/>
        <v>275</v>
      </c>
      <c r="S12" s="480">
        <f t="shared" si="1"/>
        <v>18.660287081339714</v>
      </c>
      <c r="T12" s="477">
        <f aca="true" t="shared" si="4" ref="T12:T80">+I12/H12</f>
        <v>0.6656050955414012</v>
      </c>
      <c r="U12" s="478">
        <f aca="true" t="shared" si="5" ref="U12:U80">+R12-Q12</f>
        <v>170</v>
      </c>
      <c r="V12" s="450">
        <f>+V13+V14+V15+V16+V17+V18+V19+V20+V21</f>
        <v>0</v>
      </c>
      <c r="W12" s="454">
        <f t="shared" si="2"/>
        <v>0</v>
      </c>
      <c r="X12" s="455">
        <f aca="true" t="shared" si="6" ref="X12:X80">+L12+M12+N12+O12+P12+Q12</f>
        <v>275</v>
      </c>
      <c r="Y12" s="455" t="str">
        <f aca="true" t="shared" si="7" ref="Y12:Y80">+IF(X12=R12,"Đ","S")</f>
        <v>Đ</v>
      </c>
      <c r="Z12" s="459">
        <f aca="true" t="shared" si="8" ref="Z12:Z80">+L12+M12+N12+O12+P12</f>
        <v>170</v>
      </c>
      <c r="AA12" s="459">
        <f>+AA13+AA14+AA15+AA16+AA17+AA18+AA19+AA20+AA21</f>
        <v>111</v>
      </c>
      <c r="AB12" s="501">
        <f aca="true" t="shared" si="9" ref="AB12:AB80">(((Z12)-AA12)/AA12)*100</f>
        <v>53.153153153153156</v>
      </c>
      <c r="AC12" s="463">
        <f aca="true" t="shared" si="10" ref="AC12:AC80">+Z12-AA12</f>
        <v>59</v>
      </c>
    </row>
    <row r="13" spans="1:29" ht="19.5" customHeight="1">
      <c r="A13" s="870" t="s">
        <v>43</v>
      </c>
      <c r="B13" s="416" t="s">
        <v>435</v>
      </c>
      <c r="C13" s="479">
        <f aca="true" t="shared" si="11" ref="C13:C21">+D13+E13</f>
        <v>0</v>
      </c>
      <c r="D13" s="479"/>
      <c r="E13" s="479"/>
      <c r="F13" s="479"/>
      <c r="G13" s="479"/>
      <c r="H13" s="479">
        <f aca="true" t="shared" si="12" ref="H13:H21">SUM(I13,Q13)</f>
        <v>0</v>
      </c>
      <c r="I13" s="479">
        <f aca="true" t="shared" si="13" ref="I13:I21">SUM(J13:P13)</f>
        <v>0</v>
      </c>
      <c r="J13" s="479"/>
      <c r="K13" s="479"/>
      <c r="L13" s="479"/>
      <c r="M13" s="479"/>
      <c r="N13" s="479"/>
      <c r="O13" s="479"/>
      <c r="P13" s="479"/>
      <c r="Q13" s="479"/>
      <c r="R13" s="876">
        <f>+Q13+P13+O13+N13+M13+L13</f>
        <v>0</v>
      </c>
      <c r="S13" s="480" t="e">
        <f t="shared" si="1"/>
        <v>#DIV/0!</v>
      </c>
      <c r="T13" s="477" t="e">
        <f t="shared" si="4"/>
        <v>#DIV/0!</v>
      </c>
      <c r="U13" s="478">
        <f t="shared" si="5"/>
        <v>0</v>
      </c>
      <c r="V13" s="450"/>
      <c r="W13" s="454">
        <f t="shared" si="2"/>
        <v>0</v>
      </c>
      <c r="X13" s="455">
        <f t="shared" si="6"/>
        <v>0</v>
      </c>
      <c r="Y13" s="455" t="str">
        <f t="shared" si="7"/>
        <v>Đ</v>
      </c>
      <c r="Z13" s="458">
        <f t="shared" si="8"/>
        <v>0</v>
      </c>
      <c r="AA13" s="458"/>
      <c r="AB13" s="501" t="e">
        <f t="shared" si="9"/>
        <v>#DIV/0!</v>
      </c>
      <c r="AC13" s="463">
        <f t="shared" si="10"/>
        <v>0</v>
      </c>
    </row>
    <row r="14" spans="1:29" ht="19.5" customHeight="1">
      <c r="A14" s="870" t="s">
        <v>44</v>
      </c>
      <c r="B14" s="416" t="s">
        <v>499</v>
      </c>
      <c r="C14" s="479">
        <f t="shared" si="11"/>
        <v>0</v>
      </c>
      <c r="D14" s="479"/>
      <c r="E14" s="479"/>
      <c r="F14" s="479"/>
      <c r="G14" s="479"/>
      <c r="H14" s="479">
        <f t="shared" si="12"/>
        <v>0</v>
      </c>
      <c r="I14" s="479">
        <f t="shared" si="13"/>
        <v>0</v>
      </c>
      <c r="J14" s="479"/>
      <c r="K14" s="479"/>
      <c r="L14" s="479"/>
      <c r="M14" s="479"/>
      <c r="N14" s="479"/>
      <c r="O14" s="479"/>
      <c r="P14" s="479"/>
      <c r="Q14" s="479"/>
      <c r="R14" s="876">
        <f aca="true" t="shared" si="14" ref="R14:R21">+Q14+P14+O14+N14+M14+L14</f>
        <v>0</v>
      </c>
      <c r="S14" s="480" t="e">
        <f t="shared" si="1"/>
        <v>#DIV/0!</v>
      </c>
      <c r="T14" s="477" t="e">
        <f t="shared" si="4"/>
        <v>#DIV/0!</v>
      </c>
      <c r="U14" s="478">
        <f t="shared" si="5"/>
        <v>0</v>
      </c>
      <c r="V14" s="450"/>
      <c r="W14" s="454">
        <f t="shared" si="2"/>
        <v>0</v>
      </c>
      <c r="X14" s="455">
        <f t="shared" si="6"/>
        <v>0</v>
      </c>
      <c r="Y14" s="455" t="str">
        <f t="shared" si="7"/>
        <v>Đ</v>
      </c>
      <c r="Z14" s="458">
        <f t="shared" si="8"/>
        <v>0</v>
      </c>
      <c r="AA14" s="458"/>
      <c r="AB14" s="501" t="e">
        <f t="shared" si="9"/>
        <v>#DIV/0!</v>
      </c>
      <c r="AC14" s="463">
        <f t="shared" si="10"/>
        <v>0</v>
      </c>
    </row>
    <row r="15" spans="1:29" ht="19.5" customHeight="1">
      <c r="A15" s="870" t="s">
        <v>49</v>
      </c>
      <c r="B15" s="416" t="s">
        <v>498</v>
      </c>
      <c r="C15" s="479">
        <f t="shared" si="11"/>
        <v>58</v>
      </c>
      <c r="D15" s="479">
        <v>42</v>
      </c>
      <c r="E15" s="479">
        <v>16</v>
      </c>
      <c r="F15" s="479"/>
      <c r="G15" s="479"/>
      <c r="H15" s="479">
        <f t="shared" si="12"/>
        <v>58</v>
      </c>
      <c r="I15" s="479">
        <f t="shared" si="13"/>
        <v>46</v>
      </c>
      <c r="J15" s="479">
        <v>2</v>
      </c>
      <c r="K15" s="479"/>
      <c r="L15" s="479">
        <v>39</v>
      </c>
      <c r="M15" s="479">
        <v>2</v>
      </c>
      <c r="N15" s="479">
        <v>1</v>
      </c>
      <c r="O15" s="479"/>
      <c r="P15" s="479">
        <v>2</v>
      </c>
      <c r="Q15" s="479">
        <v>12</v>
      </c>
      <c r="R15" s="876">
        <f t="shared" si="14"/>
        <v>56</v>
      </c>
      <c r="S15" s="480">
        <f t="shared" si="1"/>
        <v>4.3478260869565215</v>
      </c>
      <c r="T15" s="477">
        <f t="shared" si="4"/>
        <v>0.7931034482758621</v>
      </c>
      <c r="U15" s="478">
        <f t="shared" si="5"/>
        <v>44</v>
      </c>
      <c r="V15" s="450"/>
      <c r="W15" s="454">
        <f t="shared" si="2"/>
        <v>0</v>
      </c>
      <c r="X15" s="455">
        <f t="shared" si="6"/>
        <v>56</v>
      </c>
      <c r="Y15" s="455" t="str">
        <f t="shared" si="7"/>
        <v>Đ</v>
      </c>
      <c r="Z15" s="458">
        <f t="shared" si="8"/>
        <v>44</v>
      </c>
      <c r="AA15" s="458">
        <v>10</v>
      </c>
      <c r="AB15" s="501">
        <f t="shared" si="9"/>
        <v>340</v>
      </c>
      <c r="AC15" s="463">
        <f t="shared" si="10"/>
        <v>34</v>
      </c>
    </row>
    <row r="16" spans="1:29" ht="19.5" customHeight="1">
      <c r="A16" s="870" t="s">
        <v>58</v>
      </c>
      <c r="B16" s="416" t="s">
        <v>497</v>
      </c>
      <c r="C16" s="479">
        <f t="shared" si="11"/>
        <v>31</v>
      </c>
      <c r="D16" s="479">
        <v>31</v>
      </c>
      <c r="E16" s="479"/>
      <c r="F16" s="479"/>
      <c r="G16" s="479"/>
      <c r="H16" s="479">
        <f t="shared" si="12"/>
        <v>31</v>
      </c>
      <c r="I16" s="479">
        <f t="shared" si="13"/>
        <v>20</v>
      </c>
      <c r="J16" s="479"/>
      <c r="K16" s="479"/>
      <c r="L16" s="479">
        <v>20</v>
      </c>
      <c r="M16" s="479"/>
      <c r="N16" s="479"/>
      <c r="O16" s="479"/>
      <c r="P16" s="479"/>
      <c r="Q16" s="479">
        <v>11</v>
      </c>
      <c r="R16" s="876">
        <f t="shared" si="14"/>
        <v>31</v>
      </c>
      <c r="S16" s="480">
        <f t="shared" si="1"/>
        <v>0</v>
      </c>
      <c r="T16" s="477">
        <f t="shared" si="4"/>
        <v>0.6451612903225806</v>
      </c>
      <c r="U16" s="478">
        <f t="shared" si="5"/>
        <v>20</v>
      </c>
      <c r="V16" s="450"/>
      <c r="W16" s="454">
        <f t="shared" si="2"/>
        <v>0</v>
      </c>
      <c r="X16" s="455">
        <f t="shared" si="6"/>
        <v>31</v>
      </c>
      <c r="Y16" s="455" t="str">
        <f t="shared" si="7"/>
        <v>Đ</v>
      </c>
      <c r="Z16" s="458">
        <f t="shared" si="8"/>
        <v>20</v>
      </c>
      <c r="AA16" s="458">
        <v>32</v>
      </c>
      <c r="AB16" s="501">
        <f t="shared" si="9"/>
        <v>-37.5</v>
      </c>
      <c r="AC16" s="463">
        <f t="shared" si="10"/>
        <v>-12</v>
      </c>
    </row>
    <row r="17" spans="1:29" ht="19.5" customHeight="1">
      <c r="A17" s="870" t="s">
        <v>59</v>
      </c>
      <c r="B17" s="871" t="s">
        <v>496</v>
      </c>
      <c r="C17" s="479">
        <f t="shared" si="11"/>
        <v>47</v>
      </c>
      <c r="D17" s="479">
        <v>32</v>
      </c>
      <c r="E17" s="479">
        <v>15</v>
      </c>
      <c r="F17" s="479"/>
      <c r="G17" s="479"/>
      <c r="H17" s="479">
        <f t="shared" si="12"/>
        <v>47</v>
      </c>
      <c r="I17" s="479">
        <f t="shared" si="13"/>
        <v>28</v>
      </c>
      <c r="J17" s="479">
        <v>5</v>
      </c>
      <c r="K17" s="479"/>
      <c r="L17" s="479">
        <v>21</v>
      </c>
      <c r="M17" s="479"/>
      <c r="N17" s="479"/>
      <c r="O17" s="479"/>
      <c r="P17" s="479">
        <v>2</v>
      </c>
      <c r="Q17" s="479">
        <v>19</v>
      </c>
      <c r="R17" s="876">
        <f t="shared" si="14"/>
        <v>42</v>
      </c>
      <c r="S17" s="480">
        <f t="shared" si="1"/>
        <v>17.857142857142858</v>
      </c>
      <c r="T17" s="477">
        <f t="shared" si="4"/>
        <v>0.5957446808510638</v>
      </c>
      <c r="U17" s="478">
        <f t="shared" si="5"/>
        <v>23</v>
      </c>
      <c r="V17" s="450"/>
      <c r="W17" s="454">
        <f t="shared" si="2"/>
        <v>0</v>
      </c>
      <c r="X17" s="455">
        <f t="shared" si="6"/>
        <v>42</v>
      </c>
      <c r="Y17" s="455" t="str">
        <f t="shared" si="7"/>
        <v>Đ</v>
      </c>
      <c r="Z17" s="458">
        <f t="shared" si="8"/>
        <v>23</v>
      </c>
      <c r="AA17" s="458">
        <v>11</v>
      </c>
      <c r="AB17" s="501">
        <f t="shared" si="9"/>
        <v>109.09090909090908</v>
      </c>
      <c r="AC17" s="463">
        <f t="shared" si="10"/>
        <v>12</v>
      </c>
    </row>
    <row r="18" spans="1:29" ht="19.5" customHeight="1">
      <c r="A18" s="870" t="s">
        <v>60</v>
      </c>
      <c r="B18" s="416" t="s">
        <v>495</v>
      </c>
      <c r="C18" s="479">
        <f t="shared" si="11"/>
        <v>36</v>
      </c>
      <c r="D18" s="479">
        <v>23</v>
      </c>
      <c r="E18" s="479">
        <v>13</v>
      </c>
      <c r="F18" s="479"/>
      <c r="G18" s="479"/>
      <c r="H18" s="479">
        <f t="shared" si="12"/>
        <v>36</v>
      </c>
      <c r="I18" s="479">
        <f t="shared" si="13"/>
        <v>27</v>
      </c>
      <c r="J18" s="479">
        <v>11</v>
      </c>
      <c r="K18" s="479"/>
      <c r="L18" s="479">
        <v>15</v>
      </c>
      <c r="M18" s="479">
        <v>1</v>
      </c>
      <c r="N18" s="479"/>
      <c r="O18" s="479"/>
      <c r="P18" s="479"/>
      <c r="Q18" s="479">
        <v>9</v>
      </c>
      <c r="R18" s="876">
        <f t="shared" si="14"/>
        <v>25</v>
      </c>
      <c r="S18" s="480">
        <f t="shared" si="1"/>
        <v>40.74074074074074</v>
      </c>
      <c r="T18" s="477">
        <f t="shared" si="4"/>
        <v>0.75</v>
      </c>
      <c r="U18" s="478">
        <f t="shared" si="5"/>
        <v>16</v>
      </c>
      <c r="V18" s="450"/>
      <c r="W18" s="454">
        <f t="shared" si="2"/>
        <v>0</v>
      </c>
      <c r="X18" s="455">
        <f t="shared" si="6"/>
        <v>25</v>
      </c>
      <c r="Y18" s="455" t="str">
        <f t="shared" si="7"/>
        <v>Đ</v>
      </c>
      <c r="Z18" s="458">
        <f t="shared" si="8"/>
        <v>16</v>
      </c>
      <c r="AA18" s="458">
        <v>9</v>
      </c>
      <c r="AB18" s="501">
        <f t="shared" si="9"/>
        <v>77.77777777777779</v>
      </c>
      <c r="AC18" s="463">
        <f t="shared" si="10"/>
        <v>7</v>
      </c>
    </row>
    <row r="19" spans="1:29" ht="19.5" customHeight="1">
      <c r="A19" s="870" t="s">
        <v>61</v>
      </c>
      <c r="B19" s="416" t="s">
        <v>494</v>
      </c>
      <c r="C19" s="479">
        <f t="shared" si="11"/>
        <v>52</v>
      </c>
      <c r="D19" s="479">
        <v>27</v>
      </c>
      <c r="E19" s="479">
        <v>25</v>
      </c>
      <c r="F19" s="479"/>
      <c r="G19" s="479"/>
      <c r="H19" s="479">
        <f t="shared" si="12"/>
        <v>52</v>
      </c>
      <c r="I19" s="479">
        <f t="shared" si="13"/>
        <v>37</v>
      </c>
      <c r="J19" s="479">
        <v>13</v>
      </c>
      <c r="K19" s="479"/>
      <c r="L19" s="479">
        <v>23</v>
      </c>
      <c r="M19" s="479"/>
      <c r="N19" s="479"/>
      <c r="O19" s="479"/>
      <c r="P19" s="479">
        <v>1</v>
      </c>
      <c r="Q19" s="479">
        <v>15</v>
      </c>
      <c r="R19" s="876">
        <f t="shared" si="14"/>
        <v>39</v>
      </c>
      <c r="S19" s="480">
        <f t="shared" si="1"/>
        <v>35.13513513513514</v>
      </c>
      <c r="T19" s="477">
        <f t="shared" si="4"/>
        <v>0.7115384615384616</v>
      </c>
      <c r="U19" s="478">
        <f t="shared" si="5"/>
        <v>24</v>
      </c>
      <c r="V19" s="450"/>
      <c r="W19" s="454">
        <f t="shared" si="2"/>
        <v>0</v>
      </c>
      <c r="X19" s="455">
        <f t="shared" si="6"/>
        <v>39</v>
      </c>
      <c r="Y19" s="455" t="str">
        <f t="shared" si="7"/>
        <v>Đ</v>
      </c>
      <c r="Z19" s="458">
        <f t="shared" si="8"/>
        <v>24</v>
      </c>
      <c r="AA19" s="458">
        <v>13</v>
      </c>
      <c r="AB19" s="501">
        <f t="shared" si="9"/>
        <v>84.61538461538461</v>
      </c>
      <c r="AC19" s="463">
        <f t="shared" si="10"/>
        <v>11</v>
      </c>
    </row>
    <row r="20" spans="1:30" ht="19.5" customHeight="1">
      <c r="A20" s="870" t="s">
        <v>62</v>
      </c>
      <c r="B20" s="416" t="s">
        <v>556</v>
      </c>
      <c r="C20" s="479">
        <f t="shared" si="11"/>
        <v>48</v>
      </c>
      <c r="D20" s="479">
        <v>33</v>
      </c>
      <c r="E20" s="479">
        <v>15</v>
      </c>
      <c r="F20" s="479"/>
      <c r="G20" s="479"/>
      <c r="H20" s="479">
        <f t="shared" si="12"/>
        <v>48</v>
      </c>
      <c r="I20" s="479">
        <f t="shared" si="13"/>
        <v>33</v>
      </c>
      <c r="J20" s="479">
        <v>6</v>
      </c>
      <c r="K20" s="479">
        <v>1</v>
      </c>
      <c r="L20" s="479">
        <v>25</v>
      </c>
      <c r="M20" s="479"/>
      <c r="N20" s="479"/>
      <c r="O20" s="479"/>
      <c r="P20" s="479">
        <v>1</v>
      </c>
      <c r="Q20" s="479">
        <v>15</v>
      </c>
      <c r="R20" s="876">
        <f t="shared" si="14"/>
        <v>41</v>
      </c>
      <c r="S20" s="480">
        <f t="shared" si="1"/>
        <v>21.21212121212121</v>
      </c>
      <c r="T20" s="477">
        <f t="shared" si="4"/>
        <v>0.6875</v>
      </c>
      <c r="U20" s="478">
        <f t="shared" si="5"/>
        <v>26</v>
      </c>
      <c r="V20" s="450"/>
      <c r="W20" s="454">
        <f t="shared" si="2"/>
        <v>0</v>
      </c>
      <c r="X20" s="455">
        <f t="shared" si="6"/>
        <v>41</v>
      </c>
      <c r="Y20" s="455" t="str">
        <f t="shared" si="7"/>
        <v>Đ</v>
      </c>
      <c r="Z20" s="458">
        <f t="shared" si="8"/>
        <v>26</v>
      </c>
      <c r="AA20" s="458">
        <v>24</v>
      </c>
      <c r="AB20" s="501">
        <f t="shared" si="9"/>
        <v>8.333333333333332</v>
      </c>
      <c r="AC20" s="463">
        <f t="shared" si="10"/>
        <v>2</v>
      </c>
      <c r="AD20" s="23" t="s">
        <v>561</v>
      </c>
    </row>
    <row r="21" spans="1:30" ht="19.5" customHeight="1">
      <c r="A21" s="870" t="s">
        <v>63</v>
      </c>
      <c r="B21" s="416" t="s">
        <v>552</v>
      </c>
      <c r="C21" s="479">
        <f t="shared" si="11"/>
        <v>42</v>
      </c>
      <c r="D21" s="479">
        <v>36</v>
      </c>
      <c r="E21" s="479">
        <v>6</v>
      </c>
      <c r="F21" s="479"/>
      <c r="G21" s="479"/>
      <c r="H21" s="479">
        <f t="shared" si="12"/>
        <v>42</v>
      </c>
      <c r="I21" s="479">
        <f t="shared" si="13"/>
        <v>18</v>
      </c>
      <c r="J21" s="479">
        <v>1</v>
      </c>
      <c r="K21" s="479"/>
      <c r="L21" s="479">
        <v>17</v>
      </c>
      <c r="M21" s="479"/>
      <c r="N21" s="479"/>
      <c r="O21" s="479"/>
      <c r="P21" s="479"/>
      <c r="Q21" s="479">
        <v>24</v>
      </c>
      <c r="R21" s="876">
        <f t="shared" si="14"/>
        <v>41</v>
      </c>
      <c r="S21" s="480">
        <f t="shared" si="1"/>
        <v>5.555555555555555</v>
      </c>
      <c r="T21" s="477">
        <f t="shared" si="4"/>
        <v>0.42857142857142855</v>
      </c>
      <c r="U21" s="478">
        <f t="shared" si="5"/>
        <v>17</v>
      </c>
      <c r="V21" s="450"/>
      <c r="W21" s="454">
        <f t="shared" si="2"/>
        <v>0</v>
      </c>
      <c r="X21" s="455">
        <f t="shared" si="6"/>
        <v>41</v>
      </c>
      <c r="Y21" s="455" t="str">
        <f t="shared" si="7"/>
        <v>Đ</v>
      </c>
      <c r="Z21" s="458">
        <f t="shared" si="8"/>
        <v>17</v>
      </c>
      <c r="AA21" s="458">
        <v>12</v>
      </c>
      <c r="AB21" s="501">
        <f t="shared" si="9"/>
        <v>41.66666666666667</v>
      </c>
      <c r="AC21" s="463">
        <f t="shared" si="10"/>
        <v>5</v>
      </c>
      <c r="AD21" s="23" t="s">
        <v>560</v>
      </c>
    </row>
    <row r="22" spans="1:29" ht="19.5" customHeight="1">
      <c r="A22" s="894" t="s">
        <v>1</v>
      </c>
      <c r="B22" s="895" t="s">
        <v>17</v>
      </c>
      <c r="C22" s="479">
        <f aca="true" t="shared" si="15" ref="C22:C31">+D22+E22</f>
        <v>11422</v>
      </c>
      <c r="D22" s="479">
        <f>SUM(D23,D32,D38,D43,D48,D54,D61,D68,D75)</f>
        <v>7305</v>
      </c>
      <c r="E22" s="479">
        <f>SUM(E23,E32,E38,E43,E48,E54,E61,E68,E75)</f>
        <v>4117</v>
      </c>
      <c r="F22" s="479">
        <f>SUM(F23,F32,F38,F43,F48,F54,F61,F68,F75)</f>
        <v>32</v>
      </c>
      <c r="G22" s="479">
        <f>SUM(G23,G32,G38,G43,G48,G54,G61,G68,G75)</f>
        <v>0</v>
      </c>
      <c r="H22" s="479">
        <f aca="true" t="shared" si="16" ref="H22:H31">SUM(I22,Q22)</f>
        <v>11390</v>
      </c>
      <c r="I22" s="479">
        <f aca="true" t="shared" si="17" ref="I22:I31">SUM(J22:P22)</f>
        <v>8256</v>
      </c>
      <c r="J22" s="479">
        <f aca="true" t="shared" si="18" ref="J22:R22">SUM(J23,J32,J38,J43,J48,J54,J61,J68,J75)</f>
        <v>2606</v>
      </c>
      <c r="K22" s="479">
        <f t="shared" si="18"/>
        <v>84</v>
      </c>
      <c r="L22" s="479">
        <f t="shared" si="18"/>
        <v>5498</v>
      </c>
      <c r="M22" s="479">
        <f t="shared" si="18"/>
        <v>42</v>
      </c>
      <c r="N22" s="479">
        <f t="shared" si="18"/>
        <v>4</v>
      </c>
      <c r="O22" s="479">
        <f t="shared" si="18"/>
        <v>0</v>
      </c>
      <c r="P22" s="479">
        <f t="shared" si="18"/>
        <v>22</v>
      </c>
      <c r="Q22" s="479">
        <f t="shared" si="18"/>
        <v>3134</v>
      </c>
      <c r="R22" s="479">
        <f t="shared" si="18"/>
        <v>8700</v>
      </c>
      <c r="S22" s="480">
        <f t="shared" si="1"/>
        <v>32.582364341085274</v>
      </c>
      <c r="T22" s="477">
        <f t="shared" si="4"/>
        <v>0.724846356453029</v>
      </c>
      <c r="U22" s="478">
        <f t="shared" si="5"/>
        <v>5566</v>
      </c>
      <c r="V22" s="441">
        <f>SUM(V23,V32,V38,V43,V48,V54,V61,V68,V75)</f>
        <v>0</v>
      </c>
      <c r="W22" s="454">
        <f t="shared" si="2"/>
        <v>0</v>
      </c>
      <c r="X22" s="455">
        <f t="shared" si="6"/>
        <v>8700</v>
      </c>
      <c r="Y22" s="455" t="str">
        <f t="shared" si="7"/>
        <v>Đ</v>
      </c>
      <c r="Z22" s="459">
        <f t="shared" si="8"/>
        <v>5566</v>
      </c>
      <c r="AA22" s="475" t="e">
        <f>+AA23+AA32+AA38+AA43+AA48+AA54+AA61+AA68+AA75</f>
        <v>#REF!</v>
      </c>
      <c r="AB22" s="501" t="e">
        <f>(((Z22)-AA22)/AA22)*100</f>
        <v>#REF!</v>
      </c>
      <c r="AC22" s="463" t="e">
        <f t="shared" si="10"/>
        <v>#REF!</v>
      </c>
    </row>
    <row r="23" spans="1:29" ht="19.5" customHeight="1">
      <c r="A23" s="894" t="s">
        <v>43</v>
      </c>
      <c r="B23" s="895" t="s">
        <v>492</v>
      </c>
      <c r="C23" s="479">
        <f t="shared" si="15"/>
        <v>1222</v>
      </c>
      <c r="D23" s="479">
        <f>SUM(D24:D31)</f>
        <v>884</v>
      </c>
      <c r="E23" s="479">
        <f>SUM(E24:E31)</f>
        <v>338</v>
      </c>
      <c r="F23" s="479">
        <f>SUM(F24:F31)</f>
        <v>4</v>
      </c>
      <c r="G23" s="479">
        <f>SUM(G24:G31)</f>
        <v>0</v>
      </c>
      <c r="H23" s="479">
        <f t="shared" si="16"/>
        <v>1218</v>
      </c>
      <c r="I23" s="479">
        <f t="shared" si="17"/>
        <v>735</v>
      </c>
      <c r="J23" s="479">
        <f aca="true" t="shared" si="19" ref="J23:Q23">SUM(J24:J31)</f>
        <v>151</v>
      </c>
      <c r="K23" s="479">
        <f t="shared" si="19"/>
        <v>8</v>
      </c>
      <c r="L23" s="479">
        <f t="shared" si="19"/>
        <v>527</v>
      </c>
      <c r="M23" s="479">
        <f t="shared" si="19"/>
        <v>35</v>
      </c>
      <c r="N23" s="479">
        <f t="shared" si="19"/>
        <v>0</v>
      </c>
      <c r="O23" s="479">
        <f t="shared" si="19"/>
        <v>0</v>
      </c>
      <c r="P23" s="479">
        <f t="shared" si="19"/>
        <v>14</v>
      </c>
      <c r="Q23" s="479">
        <f t="shared" si="19"/>
        <v>483</v>
      </c>
      <c r="R23" s="876">
        <f aca="true" t="shared" si="20" ref="R23:R31">SUM(L23:Q23)</f>
        <v>1059</v>
      </c>
      <c r="S23" s="480">
        <f t="shared" si="1"/>
        <v>21.63265306122449</v>
      </c>
      <c r="T23" s="477">
        <f t="shared" si="4"/>
        <v>0.603448275862069</v>
      </c>
      <c r="U23" s="478">
        <f t="shared" si="5"/>
        <v>576</v>
      </c>
      <c r="V23" s="444">
        <f>+V24+V25+V26+V27+V29+V30+V31</f>
        <v>0</v>
      </c>
      <c r="W23" s="454">
        <f t="shared" si="2"/>
        <v>0</v>
      </c>
      <c r="X23" s="455">
        <f t="shared" si="6"/>
        <v>1059</v>
      </c>
      <c r="Y23" s="455" t="str">
        <f t="shared" si="7"/>
        <v>Đ</v>
      </c>
      <c r="Z23" s="459">
        <f t="shared" si="8"/>
        <v>576</v>
      </c>
      <c r="AA23" s="476">
        <f>+AA24+AA25+AA26+AA27+AA28+AA30+AA31</f>
        <v>490</v>
      </c>
      <c r="AB23" s="501">
        <f t="shared" si="9"/>
        <v>17.551020408163264</v>
      </c>
      <c r="AC23" s="463">
        <f t="shared" si="10"/>
        <v>86</v>
      </c>
    </row>
    <row r="24" spans="1:29" ht="19.5" customHeight="1">
      <c r="A24" s="870" t="s">
        <v>45</v>
      </c>
      <c r="B24" s="872" t="s">
        <v>491</v>
      </c>
      <c r="C24" s="479">
        <f t="shared" si="15"/>
        <v>80</v>
      </c>
      <c r="D24" s="849">
        <v>44</v>
      </c>
      <c r="E24" s="849">
        <v>36</v>
      </c>
      <c r="F24" s="849"/>
      <c r="G24" s="873"/>
      <c r="H24" s="479">
        <f t="shared" si="16"/>
        <v>80</v>
      </c>
      <c r="I24" s="479">
        <f t="shared" si="17"/>
        <v>49</v>
      </c>
      <c r="J24" s="849">
        <v>19</v>
      </c>
      <c r="K24" s="849"/>
      <c r="L24" s="508">
        <v>29</v>
      </c>
      <c r="M24" s="472">
        <v>0</v>
      </c>
      <c r="N24" s="472">
        <v>0</v>
      </c>
      <c r="O24" s="472">
        <v>0</v>
      </c>
      <c r="P24" s="507">
        <v>1</v>
      </c>
      <c r="Q24" s="849">
        <v>31</v>
      </c>
      <c r="R24" s="876">
        <f t="shared" si="20"/>
        <v>61</v>
      </c>
      <c r="S24" s="480">
        <f t="shared" si="1"/>
        <v>38.775510204081634</v>
      </c>
      <c r="T24" s="477">
        <f t="shared" si="4"/>
        <v>0.6125</v>
      </c>
      <c r="U24" s="478">
        <f t="shared" si="5"/>
        <v>30</v>
      </c>
      <c r="V24" s="443"/>
      <c r="W24" s="454">
        <f t="shared" si="2"/>
        <v>0</v>
      </c>
      <c r="X24" s="455">
        <f t="shared" si="6"/>
        <v>61</v>
      </c>
      <c r="Y24" s="455" t="str">
        <f t="shared" si="7"/>
        <v>Đ</v>
      </c>
      <c r="Z24" s="458">
        <f t="shared" si="8"/>
        <v>30</v>
      </c>
      <c r="AA24" s="458">
        <v>21</v>
      </c>
      <c r="AB24" s="501">
        <f t="shared" si="9"/>
        <v>42.857142857142854</v>
      </c>
      <c r="AC24" s="463">
        <f t="shared" si="10"/>
        <v>9</v>
      </c>
    </row>
    <row r="25" spans="1:29" ht="19.5" customHeight="1">
      <c r="A25" s="870" t="s">
        <v>46</v>
      </c>
      <c r="B25" s="874" t="s">
        <v>542</v>
      </c>
      <c r="C25" s="479">
        <f t="shared" si="15"/>
        <v>104</v>
      </c>
      <c r="D25" s="849">
        <v>88</v>
      </c>
      <c r="E25" s="849">
        <v>16</v>
      </c>
      <c r="F25" s="509"/>
      <c r="G25" s="873"/>
      <c r="H25" s="479">
        <f t="shared" si="16"/>
        <v>104</v>
      </c>
      <c r="I25" s="479">
        <f t="shared" si="17"/>
        <v>47</v>
      </c>
      <c r="J25" s="849">
        <v>12</v>
      </c>
      <c r="K25" s="849"/>
      <c r="L25" s="849">
        <v>26</v>
      </c>
      <c r="M25" s="479">
        <v>9</v>
      </c>
      <c r="N25" s="472">
        <v>0</v>
      </c>
      <c r="O25" s="472">
        <v>0</v>
      </c>
      <c r="P25" s="507">
        <v>0</v>
      </c>
      <c r="Q25" s="849">
        <v>57</v>
      </c>
      <c r="R25" s="876">
        <f t="shared" si="20"/>
        <v>92</v>
      </c>
      <c r="S25" s="480">
        <f t="shared" si="1"/>
        <v>25.53191489361702</v>
      </c>
      <c r="T25" s="477">
        <f t="shared" si="4"/>
        <v>0.4519230769230769</v>
      </c>
      <c r="U25" s="478">
        <f t="shared" si="5"/>
        <v>35</v>
      </c>
      <c r="V25" s="443"/>
      <c r="W25" s="454"/>
      <c r="X25" s="455">
        <f t="shared" si="6"/>
        <v>92</v>
      </c>
      <c r="Y25" s="455" t="str">
        <f t="shared" si="7"/>
        <v>Đ</v>
      </c>
      <c r="Z25" s="458">
        <f t="shared" si="8"/>
        <v>35</v>
      </c>
      <c r="AA25" s="458">
        <v>91</v>
      </c>
      <c r="AB25" s="501">
        <f t="shared" si="9"/>
        <v>-61.53846153846154</v>
      </c>
      <c r="AC25" s="463">
        <f t="shared" si="10"/>
        <v>-56</v>
      </c>
    </row>
    <row r="26" spans="1:29" ht="19.5" customHeight="1">
      <c r="A26" s="870" t="s">
        <v>104</v>
      </c>
      <c r="B26" s="875" t="s">
        <v>543</v>
      </c>
      <c r="C26" s="479">
        <f t="shared" si="15"/>
        <v>137</v>
      </c>
      <c r="D26" s="849">
        <v>103</v>
      </c>
      <c r="E26" s="849">
        <v>34</v>
      </c>
      <c r="F26" s="509"/>
      <c r="G26" s="873"/>
      <c r="H26" s="479">
        <f t="shared" si="16"/>
        <v>137</v>
      </c>
      <c r="I26" s="479">
        <f t="shared" si="17"/>
        <v>73</v>
      </c>
      <c r="J26" s="849">
        <v>21</v>
      </c>
      <c r="K26" s="849"/>
      <c r="L26" s="508">
        <v>51</v>
      </c>
      <c r="M26" s="507"/>
      <c r="N26" s="472">
        <v>0</v>
      </c>
      <c r="O26" s="472">
        <v>0</v>
      </c>
      <c r="P26" s="507">
        <v>1</v>
      </c>
      <c r="Q26" s="849">
        <v>64</v>
      </c>
      <c r="R26" s="876">
        <f t="shared" si="20"/>
        <v>116</v>
      </c>
      <c r="S26" s="480">
        <f t="shared" si="1"/>
        <v>28.767123287671232</v>
      </c>
      <c r="T26" s="477">
        <f t="shared" si="4"/>
        <v>0.5328467153284672</v>
      </c>
      <c r="U26" s="478">
        <f t="shared" si="5"/>
        <v>52</v>
      </c>
      <c r="V26" s="443"/>
      <c r="W26" s="454">
        <f t="shared" si="2"/>
        <v>0</v>
      </c>
      <c r="X26" s="455">
        <f t="shared" si="6"/>
        <v>116</v>
      </c>
      <c r="Y26" s="455" t="str">
        <f t="shared" si="7"/>
        <v>Đ</v>
      </c>
      <c r="Z26" s="458">
        <f t="shared" si="8"/>
        <v>52</v>
      </c>
      <c r="AA26" s="458">
        <v>66</v>
      </c>
      <c r="AB26" s="501">
        <f t="shared" si="9"/>
        <v>-21.21212121212121</v>
      </c>
      <c r="AC26" s="463">
        <f t="shared" si="10"/>
        <v>-14</v>
      </c>
    </row>
    <row r="27" spans="1:29" ht="19.5" customHeight="1">
      <c r="A27" s="870" t="s">
        <v>106</v>
      </c>
      <c r="B27" s="875" t="s">
        <v>489</v>
      </c>
      <c r="C27" s="479">
        <f t="shared" si="15"/>
        <v>205</v>
      </c>
      <c r="D27" s="849">
        <v>157</v>
      </c>
      <c r="E27" s="849">
        <v>48</v>
      </c>
      <c r="F27" s="509">
        <v>4</v>
      </c>
      <c r="G27" s="873"/>
      <c r="H27" s="479">
        <f t="shared" si="16"/>
        <v>201</v>
      </c>
      <c r="I27" s="479">
        <f t="shared" si="17"/>
        <v>123</v>
      </c>
      <c r="J27" s="849">
        <v>25</v>
      </c>
      <c r="K27" s="849">
        <v>5</v>
      </c>
      <c r="L27" s="508">
        <v>80</v>
      </c>
      <c r="M27" s="507">
        <v>1</v>
      </c>
      <c r="N27" s="472"/>
      <c r="O27" s="472"/>
      <c r="P27" s="507">
        <v>12</v>
      </c>
      <c r="Q27" s="849">
        <v>78</v>
      </c>
      <c r="R27" s="876">
        <f t="shared" si="20"/>
        <v>171</v>
      </c>
      <c r="S27" s="480">
        <f t="shared" si="1"/>
        <v>24.390243902439025</v>
      </c>
      <c r="T27" s="477">
        <f t="shared" si="4"/>
        <v>0.6119402985074627</v>
      </c>
      <c r="U27" s="478">
        <f t="shared" si="5"/>
        <v>93</v>
      </c>
      <c r="V27" s="443"/>
      <c r="W27" s="454">
        <f t="shared" si="2"/>
        <v>0</v>
      </c>
      <c r="X27" s="455">
        <f t="shared" si="6"/>
        <v>171</v>
      </c>
      <c r="Y27" s="455" t="str">
        <f t="shared" si="7"/>
        <v>Đ</v>
      </c>
      <c r="Z27" s="458">
        <f t="shared" si="8"/>
        <v>93</v>
      </c>
      <c r="AA27" s="458">
        <v>98</v>
      </c>
      <c r="AB27" s="501">
        <f t="shared" si="9"/>
        <v>-5.1020408163265305</v>
      </c>
      <c r="AC27" s="463">
        <f t="shared" si="10"/>
        <v>-5</v>
      </c>
    </row>
    <row r="28" spans="1:29" ht="19.5" customHeight="1">
      <c r="A28" s="870" t="s">
        <v>107</v>
      </c>
      <c r="B28" s="875" t="s">
        <v>488</v>
      </c>
      <c r="C28" s="479">
        <f t="shared" si="15"/>
        <v>247</v>
      </c>
      <c r="D28" s="849">
        <v>176</v>
      </c>
      <c r="E28" s="849">
        <v>71</v>
      </c>
      <c r="F28" s="509"/>
      <c r="G28" s="873"/>
      <c r="H28" s="479">
        <f>SUM(I28,Q28)</f>
        <v>247</v>
      </c>
      <c r="I28" s="479">
        <f t="shared" si="17"/>
        <v>163</v>
      </c>
      <c r="J28" s="849">
        <v>19</v>
      </c>
      <c r="K28" s="849"/>
      <c r="L28" s="508">
        <v>144</v>
      </c>
      <c r="M28" s="507"/>
      <c r="N28" s="472"/>
      <c r="O28" s="472"/>
      <c r="P28" s="507">
        <v>0</v>
      </c>
      <c r="Q28" s="849">
        <v>84</v>
      </c>
      <c r="R28" s="876">
        <f t="shared" si="20"/>
        <v>228</v>
      </c>
      <c r="S28" s="480">
        <f t="shared" si="1"/>
        <v>11.65644171779141</v>
      </c>
      <c r="T28" s="477">
        <f>+I28/H28</f>
        <v>0.659919028340081</v>
      </c>
      <c r="U28" s="478">
        <f t="shared" si="5"/>
        <v>144</v>
      </c>
      <c r="V28" s="443"/>
      <c r="W28" s="454">
        <f>+C28-(F28+G28+H28)</f>
        <v>0</v>
      </c>
      <c r="X28" s="455">
        <f t="shared" si="6"/>
        <v>228</v>
      </c>
      <c r="Y28" s="455" t="str">
        <f t="shared" si="7"/>
        <v>Đ</v>
      </c>
      <c r="Z28" s="458">
        <f t="shared" si="8"/>
        <v>144</v>
      </c>
      <c r="AA28" s="458">
        <v>67</v>
      </c>
      <c r="AB28" s="501">
        <f t="shared" si="9"/>
        <v>114.92537313432835</v>
      </c>
      <c r="AC28" s="463">
        <f t="shared" si="10"/>
        <v>77</v>
      </c>
    </row>
    <row r="29" spans="1:29" ht="19.5" customHeight="1">
      <c r="A29" s="870" t="s">
        <v>109</v>
      </c>
      <c r="B29" s="875" t="s">
        <v>521</v>
      </c>
      <c r="C29" s="479">
        <f t="shared" si="15"/>
        <v>189</v>
      </c>
      <c r="D29" s="849">
        <v>131</v>
      </c>
      <c r="E29" s="849">
        <v>58</v>
      </c>
      <c r="F29" s="509"/>
      <c r="G29" s="873"/>
      <c r="H29" s="479">
        <f>SUM(I29,Q29)</f>
        <v>189</v>
      </c>
      <c r="I29" s="479">
        <f t="shared" si="17"/>
        <v>126</v>
      </c>
      <c r="J29" s="849">
        <v>15</v>
      </c>
      <c r="K29" s="849">
        <v>1</v>
      </c>
      <c r="L29" s="508">
        <v>85</v>
      </c>
      <c r="M29" s="507">
        <v>25</v>
      </c>
      <c r="N29" s="472"/>
      <c r="O29" s="472"/>
      <c r="P29" s="507">
        <v>0</v>
      </c>
      <c r="Q29" s="849">
        <v>63</v>
      </c>
      <c r="R29" s="876">
        <f t="shared" si="20"/>
        <v>173</v>
      </c>
      <c r="S29" s="480">
        <f t="shared" si="1"/>
        <v>12.698412698412698</v>
      </c>
      <c r="T29" s="477">
        <f>+I29/H29</f>
        <v>0.6666666666666666</v>
      </c>
      <c r="U29" s="478">
        <f t="shared" si="5"/>
        <v>110</v>
      </c>
      <c r="V29" s="443"/>
      <c r="W29" s="454">
        <f>+C29-(F29+G29+H29)</f>
        <v>0</v>
      </c>
      <c r="X29" s="455">
        <f t="shared" si="6"/>
        <v>173</v>
      </c>
      <c r="Y29" s="455" t="str">
        <f t="shared" si="7"/>
        <v>Đ</v>
      </c>
      <c r="Z29" s="458"/>
      <c r="AA29" s="458"/>
      <c r="AB29" s="501"/>
      <c r="AC29" s="463"/>
    </row>
    <row r="30" spans="1:29" ht="19.5" customHeight="1">
      <c r="A30" s="870" t="s">
        <v>110</v>
      </c>
      <c r="B30" s="875" t="s">
        <v>531</v>
      </c>
      <c r="C30" s="479">
        <f t="shared" si="15"/>
        <v>125</v>
      </c>
      <c r="D30" s="849">
        <v>80</v>
      </c>
      <c r="E30" s="849">
        <v>45</v>
      </c>
      <c r="F30" s="509"/>
      <c r="G30" s="873"/>
      <c r="H30" s="479">
        <f t="shared" si="16"/>
        <v>125</v>
      </c>
      <c r="I30" s="479">
        <f t="shared" si="17"/>
        <v>82</v>
      </c>
      <c r="J30" s="849">
        <v>20</v>
      </c>
      <c r="K30" s="849"/>
      <c r="L30" s="508">
        <v>62</v>
      </c>
      <c r="M30" s="507">
        <v>0</v>
      </c>
      <c r="N30" s="472"/>
      <c r="O30" s="472"/>
      <c r="P30" s="507">
        <v>0</v>
      </c>
      <c r="Q30" s="849">
        <v>43</v>
      </c>
      <c r="R30" s="876">
        <f t="shared" si="20"/>
        <v>105</v>
      </c>
      <c r="S30" s="480">
        <f t="shared" si="1"/>
        <v>24.390243902439025</v>
      </c>
      <c r="T30" s="477">
        <f t="shared" si="4"/>
        <v>0.656</v>
      </c>
      <c r="U30" s="478">
        <f t="shared" si="5"/>
        <v>62</v>
      </c>
      <c r="V30" s="443"/>
      <c r="W30" s="454">
        <f t="shared" si="2"/>
        <v>0</v>
      </c>
      <c r="X30" s="455">
        <f t="shared" si="6"/>
        <v>105</v>
      </c>
      <c r="Y30" s="455" t="str">
        <f t="shared" si="7"/>
        <v>Đ</v>
      </c>
      <c r="Z30" s="458">
        <f t="shared" si="8"/>
        <v>62</v>
      </c>
      <c r="AA30" s="458">
        <v>105</v>
      </c>
      <c r="AB30" s="501">
        <f t="shared" si="9"/>
        <v>-40.95238095238095</v>
      </c>
      <c r="AC30" s="463">
        <f t="shared" si="10"/>
        <v>-43</v>
      </c>
    </row>
    <row r="31" spans="1:29" ht="19.5" customHeight="1">
      <c r="A31" s="870" t="s">
        <v>123</v>
      </c>
      <c r="B31" s="874" t="s">
        <v>544</v>
      </c>
      <c r="C31" s="479">
        <f t="shared" si="15"/>
        <v>135</v>
      </c>
      <c r="D31" s="849">
        <v>105</v>
      </c>
      <c r="E31" s="849">
        <f>28+2</f>
        <v>30</v>
      </c>
      <c r="F31" s="509"/>
      <c r="G31" s="873"/>
      <c r="H31" s="479">
        <f t="shared" si="16"/>
        <v>135</v>
      </c>
      <c r="I31" s="479">
        <f t="shared" si="17"/>
        <v>72</v>
      </c>
      <c r="J31" s="849">
        <v>20</v>
      </c>
      <c r="K31" s="849">
        <v>2</v>
      </c>
      <c r="L31" s="508">
        <f>52-2</f>
        <v>50</v>
      </c>
      <c r="M31" s="849"/>
      <c r="N31" s="472">
        <v>0</v>
      </c>
      <c r="O31" s="472">
        <v>0</v>
      </c>
      <c r="P31" s="507">
        <v>0</v>
      </c>
      <c r="Q31" s="849">
        <v>63</v>
      </c>
      <c r="R31" s="876">
        <f t="shared" si="20"/>
        <v>113</v>
      </c>
      <c r="S31" s="480">
        <f t="shared" si="1"/>
        <v>30.555555555555557</v>
      </c>
      <c r="T31" s="477">
        <f t="shared" si="4"/>
        <v>0.5333333333333333</v>
      </c>
      <c r="U31" s="478">
        <f t="shared" si="5"/>
        <v>50</v>
      </c>
      <c r="V31" s="443"/>
      <c r="W31" s="454">
        <f t="shared" si="2"/>
        <v>0</v>
      </c>
      <c r="X31" s="455">
        <f t="shared" si="6"/>
        <v>113</v>
      </c>
      <c r="Y31" s="455" t="str">
        <f t="shared" si="7"/>
        <v>Đ</v>
      </c>
      <c r="Z31" s="458">
        <f t="shared" si="8"/>
        <v>50</v>
      </c>
      <c r="AA31" s="458">
        <v>42</v>
      </c>
      <c r="AB31" s="501">
        <f t="shared" si="9"/>
        <v>19.047619047619047</v>
      </c>
      <c r="AC31" s="463">
        <f t="shared" si="10"/>
        <v>8</v>
      </c>
    </row>
    <row r="32" spans="1:29" ht="19.5" customHeight="1">
      <c r="A32" s="894" t="s">
        <v>44</v>
      </c>
      <c r="B32" s="895" t="s">
        <v>487</v>
      </c>
      <c r="C32" s="479">
        <f>C33+C34+C35+C36+C37</f>
        <v>1618</v>
      </c>
      <c r="D32" s="479">
        <f aca="true" t="shared" si="21" ref="D32:R32">D33+D34+D35+D36+D37</f>
        <v>1103</v>
      </c>
      <c r="E32" s="479">
        <f t="shared" si="21"/>
        <v>515</v>
      </c>
      <c r="F32" s="479">
        <f t="shared" si="21"/>
        <v>18</v>
      </c>
      <c r="G32" s="479">
        <f t="shared" si="21"/>
        <v>0</v>
      </c>
      <c r="H32" s="479">
        <f t="shared" si="21"/>
        <v>1600</v>
      </c>
      <c r="I32" s="479">
        <f t="shared" si="21"/>
        <v>1188</v>
      </c>
      <c r="J32" s="479">
        <f t="shared" si="21"/>
        <v>388</v>
      </c>
      <c r="K32" s="479">
        <f t="shared" si="21"/>
        <v>7</v>
      </c>
      <c r="L32" s="479">
        <f t="shared" si="21"/>
        <v>793</v>
      </c>
      <c r="M32" s="479">
        <f t="shared" si="21"/>
        <v>0</v>
      </c>
      <c r="N32" s="479">
        <f t="shared" si="21"/>
        <v>0</v>
      </c>
      <c r="O32" s="479">
        <f t="shared" si="21"/>
        <v>0</v>
      </c>
      <c r="P32" s="479">
        <f t="shared" si="21"/>
        <v>0</v>
      </c>
      <c r="Q32" s="479">
        <f t="shared" si="21"/>
        <v>412</v>
      </c>
      <c r="R32" s="479">
        <f t="shared" si="21"/>
        <v>1205</v>
      </c>
      <c r="S32" s="480">
        <f t="shared" si="1"/>
        <v>33.24915824915825</v>
      </c>
      <c r="T32" s="477">
        <f t="shared" si="4"/>
        <v>0.7425</v>
      </c>
      <c r="U32" s="478">
        <f t="shared" si="5"/>
        <v>793</v>
      </c>
      <c r="V32" s="441">
        <f>V33+V34+V35+V36+V37</f>
        <v>0</v>
      </c>
      <c r="W32" s="454">
        <f t="shared" si="2"/>
        <v>0</v>
      </c>
      <c r="X32" s="455">
        <f t="shared" si="6"/>
        <v>1205</v>
      </c>
      <c r="Y32" s="455" t="str">
        <f t="shared" si="7"/>
        <v>Đ</v>
      </c>
      <c r="Z32" s="459">
        <f t="shared" si="8"/>
        <v>793</v>
      </c>
      <c r="AA32" s="459">
        <v>269</v>
      </c>
      <c r="AB32" s="501">
        <f t="shared" si="9"/>
        <v>194.79553903345726</v>
      </c>
      <c r="AC32" s="463">
        <f t="shared" si="10"/>
        <v>524</v>
      </c>
    </row>
    <row r="33" spans="1:29" ht="19.5" customHeight="1">
      <c r="A33" s="870" t="s">
        <v>47</v>
      </c>
      <c r="B33" s="872" t="s">
        <v>525</v>
      </c>
      <c r="C33" s="479">
        <f>+D33+E33</f>
        <v>152</v>
      </c>
      <c r="D33" s="495">
        <v>92</v>
      </c>
      <c r="E33" s="495">
        <v>60</v>
      </c>
      <c r="F33" s="495"/>
      <c r="G33" s="495"/>
      <c r="H33" s="479">
        <f>I33+Q33</f>
        <v>152</v>
      </c>
      <c r="I33" s="479">
        <f>J33+K33+L33+M33+N33+O33+P33</f>
        <v>105</v>
      </c>
      <c r="J33" s="495">
        <v>37</v>
      </c>
      <c r="K33" s="495">
        <v>1</v>
      </c>
      <c r="L33" s="495">
        <v>67</v>
      </c>
      <c r="M33" s="495"/>
      <c r="N33" s="495"/>
      <c r="O33" s="495"/>
      <c r="P33" s="495"/>
      <c r="Q33" s="495">
        <v>47</v>
      </c>
      <c r="R33" s="876">
        <f>+Q33+P33+O33+N33+M33+L33</f>
        <v>114</v>
      </c>
      <c r="S33" s="480">
        <f t="shared" si="1"/>
        <v>36.19047619047619</v>
      </c>
      <c r="T33" s="477">
        <f t="shared" si="4"/>
        <v>0.6907894736842105</v>
      </c>
      <c r="U33" s="478">
        <f t="shared" si="5"/>
        <v>67</v>
      </c>
      <c r="V33" s="443"/>
      <c r="W33" s="454">
        <f t="shared" si="2"/>
        <v>0</v>
      </c>
      <c r="X33" s="455">
        <f t="shared" si="6"/>
        <v>114</v>
      </c>
      <c r="Y33" s="455" t="str">
        <f t="shared" si="7"/>
        <v>Đ</v>
      </c>
      <c r="Z33" s="458">
        <f t="shared" si="8"/>
        <v>67</v>
      </c>
      <c r="AA33" s="458">
        <v>8</v>
      </c>
      <c r="AB33" s="501">
        <f t="shared" si="9"/>
        <v>737.5</v>
      </c>
      <c r="AC33" s="463">
        <f t="shared" si="10"/>
        <v>59</v>
      </c>
    </row>
    <row r="34" spans="1:29" ht="19.5" customHeight="1">
      <c r="A34" s="870" t="s">
        <v>48</v>
      </c>
      <c r="B34" s="874" t="s">
        <v>486</v>
      </c>
      <c r="C34" s="479">
        <f>+D34+E34</f>
        <v>395</v>
      </c>
      <c r="D34" s="495">
        <v>276</v>
      </c>
      <c r="E34" s="495">
        <v>119</v>
      </c>
      <c r="F34" s="495"/>
      <c r="G34" s="495"/>
      <c r="H34" s="479">
        <f>I34+Q34</f>
        <v>395</v>
      </c>
      <c r="I34" s="479">
        <f>J34+K34+L34+M34+N34+O34+P34</f>
        <v>262</v>
      </c>
      <c r="J34" s="495">
        <v>77</v>
      </c>
      <c r="K34" s="495"/>
      <c r="L34" s="495">
        <v>185</v>
      </c>
      <c r="M34" s="495"/>
      <c r="N34" s="495"/>
      <c r="O34" s="495"/>
      <c r="P34" s="495"/>
      <c r="Q34" s="495">
        <v>133</v>
      </c>
      <c r="R34" s="876">
        <f>+Q34+P34+O34+N34+M34+L34</f>
        <v>318</v>
      </c>
      <c r="S34" s="480">
        <f t="shared" si="1"/>
        <v>29.389312977099237</v>
      </c>
      <c r="T34" s="477">
        <f t="shared" si="4"/>
        <v>0.6632911392405063</v>
      </c>
      <c r="U34" s="478">
        <f t="shared" si="5"/>
        <v>185</v>
      </c>
      <c r="V34" s="443"/>
      <c r="W34" s="454">
        <f t="shared" si="2"/>
        <v>0</v>
      </c>
      <c r="X34" s="455">
        <f t="shared" si="6"/>
        <v>318</v>
      </c>
      <c r="Y34" s="455" t="str">
        <f t="shared" si="7"/>
        <v>Đ</v>
      </c>
      <c r="Z34" s="458">
        <f t="shared" si="8"/>
        <v>185</v>
      </c>
      <c r="AA34" s="458">
        <v>64</v>
      </c>
      <c r="AB34" s="501">
        <f t="shared" si="9"/>
        <v>189.0625</v>
      </c>
      <c r="AC34" s="463">
        <f t="shared" si="10"/>
        <v>121</v>
      </c>
    </row>
    <row r="35" spans="1:29" ht="19.5" customHeight="1">
      <c r="A35" s="870" t="s">
        <v>485</v>
      </c>
      <c r="B35" s="874" t="s">
        <v>490</v>
      </c>
      <c r="C35" s="479">
        <f>+D35+E35</f>
        <v>415</v>
      </c>
      <c r="D35" s="495">
        <v>275</v>
      </c>
      <c r="E35" s="495">
        <v>140</v>
      </c>
      <c r="F35" s="495"/>
      <c r="G35" s="495"/>
      <c r="H35" s="479">
        <f>I35+Q35</f>
        <v>415</v>
      </c>
      <c r="I35" s="479">
        <f>J35+K35+L35+M35+N35+O35+P35</f>
        <v>365</v>
      </c>
      <c r="J35" s="495">
        <v>109</v>
      </c>
      <c r="K35" s="495">
        <v>4</v>
      </c>
      <c r="L35" s="495">
        <v>252</v>
      </c>
      <c r="M35" s="495"/>
      <c r="N35" s="495"/>
      <c r="O35" s="495"/>
      <c r="P35" s="495"/>
      <c r="Q35" s="495">
        <v>50</v>
      </c>
      <c r="R35" s="876">
        <f>+Q35+P35+O35+N35+M35+L35</f>
        <v>302</v>
      </c>
      <c r="S35" s="480">
        <f t="shared" si="1"/>
        <v>30.958904109589042</v>
      </c>
      <c r="T35" s="477">
        <f t="shared" si="4"/>
        <v>0.8795180722891566</v>
      </c>
      <c r="U35" s="478">
        <f t="shared" si="5"/>
        <v>252</v>
      </c>
      <c r="V35" s="443"/>
      <c r="W35" s="454">
        <f t="shared" si="2"/>
        <v>0</v>
      </c>
      <c r="X35" s="455">
        <f t="shared" si="6"/>
        <v>302</v>
      </c>
      <c r="Y35" s="455" t="str">
        <f t="shared" si="7"/>
        <v>Đ</v>
      </c>
      <c r="Z35" s="458">
        <f t="shared" si="8"/>
        <v>252</v>
      </c>
      <c r="AA35" s="458"/>
      <c r="AB35" s="501" t="e">
        <f t="shared" si="9"/>
        <v>#DIV/0!</v>
      </c>
      <c r="AC35" s="463">
        <f t="shared" si="10"/>
        <v>252</v>
      </c>
    </row>
    <row r="36" spans="1:29" ht="19.5" customHeight="1">
      <c r="A36" s="870" t="s">
        <v>483</v>
      </c>
      <c r="B36" s="874" t="s">
        <v>482</v>
      </c>
      <c r="C36" s="479">
        <f>+D36+E36</f>
        <v>350</v>
      </c>
      <c r="D36" s="495">
        <v>247</v>
      </c>
      <c r="E36" s="495">
        <v>103</v>
      </c>
      <c r="F36" s="495"/>
      <c r="G36" s="495"/>
      <c r="H36" s="479">
        <f>I36+Q36</f>
        <v>350</v>
      </c>
      <c r="I36" s="479">
        <f>J36+K36+L36+M36+N36+O36+P36</f>
        <v>203</v>
      </c>
      <c r="J36" s="495">
        <v>87</v>
      </c>
      <c r="K36" s="495">
        <v>2</v>
      </c>
      <c r="L36" s="495">
        <v>114</v>
      </c>
      <c r="M36" s="495"/>
      <c r="N36" s="495"/>
      <c r="O36" s="495"/>
      <c r="P36" s="495"/>
      <c r="Q36" s="495">
        <v>147</v>
      </c>
      <c r="R36" s="876">
        <f>+Q36+P36+O36+N36+M36+L36</f>
        <v>261</v>
      </c>
      <c r="S36" s="480">
        <f t="shared" si="1"/>
        <v>43.84236453201971</v>
      </c>
      <c r="T36" s="477">
        <f t="shared" si="4"/>
        <v>0.58</v>
      </c>
      <c r="U36" s="478">
        <f t="shared" si="5"/>
        <v>114</v>
      </c>
      <c r="V36" s="443"/>
      <c r="W36" s="454">
        <f t="shared" si="2"/>
        <v>0</v>
      </c>
      <c r="X36" s="455">
        <f t="shared" si="6"/>
        <v>261</v>
      </c>
      <c r="Y36" s="455" t="str">
        <f t="shared" si="7"/>
        <v>Đ</v>
      </c>
      <c r="Z36" s="458">
        <f t="shared" si="8"/>
        <v>114</v>
      </c>
      <c r="AA36" s="458">
        <v>48</v>
      </c>
      <c r="AB36" s="501">
        <f t="shared" si="9"/>
        <v>137.5</v>
      </c>
      <c r="AC36" s="463">
        <f t="shared" si="10"/>
        <v>66</v>
      </c>
    </row>
    <row r="37" spans="1:29" ht="19.5" customHeight="1">
      <c r="A37" s="870" t="s">
        <v>532</v>
      </c>
      <c r="B37" s="874" t="s">
        <v>533</v>
      </c>
      <c r="C37" s="479">
        <f>+D37+E37</f>
        <v>306</v>
      </c>
      <c r="D37" s="495">
        <v>213</v>
      </c>
      <c r="E37" s="495">
        <v>93</v>
      </c>
      <c r="F37" s="495">
        <v>18</v>
      </c>
      <c r="G37" s="495"/>
      <c r="H37" s="479">
        <f>I37+Q37</f>
        <v>288</v>
      </c>
      <c r="I37" s="479">
        <f>J37+K37+L37+M37+N37+O37+P37</f>
        <v>253</v>
      </c>
      <c r="J37" s="495">
        <v>78</v>
      </c>
      <c r="K37" s="495"/>
      <c r="L37" s="495">
        <v>175</v>
      </c>
      <c r="M37" s="495"/>
      <c r="N37" s="495"/>
      <c r="O37" s="495"/>
      <c r="P37" s="495"/>
      <c r="Q37" s="495">
        <v>35</v>
      </c>
      <c r="R37" s="876">
        <f>+Q37+P37+O37+N37+M37+L37</f>
        <v>210</v>
      </c>
      <c r="S37" s="480">
        <f t="shared" si="1"/>
        <v>30.8300395256917</v>
      </c>
      <c r="T37" s="477">
        <f t="shared" si="4"/>
        <v>0.8784722222222222</v>
      </c>
      <c r="U37" s="478">
        <f t="shared" si="5"/>
        <v>175</v>
      </c>
      <c r="V37" s="443"/>
      <c r="W37" s="454">
        <f t="shared" si="2"/>
        <v>0</v>
      </c>
      <c r="X37" s="455">
        <f t="shared" si="6"/>
        <v>210</v>
      </c>
      <c r="Y37" s="455" t="str">
        <f t="shared" si="7"/>
        <v>Đ</v>
      </c>
      <c r="Z37" s="458">
        <f t="shared" si="8"/>
        <v>175</v>
      </c>
      <c r="AA37" s="458">
        <v>84</v>
      </c>
      <c r="AB37" s="501">
        <f t="shared" si="9"/>
        <v>108.33333333333333</v>
      </c>
      <c r="AC37" s="463">
        <f t="shared" si="10"/>
        <v>91</v>
      </c>
    </row>
    <row r="38" spans="1:29" ht="19.5" customHeight="1">
      <c r="A38" s="894" t="s">
        <v>49</v>
      </c>
      <c r="B38" s="895" t="s">
        <v>481</v>
      </c>
      <c r="C38" s="479">
        <f>C39+C40+C41+C42</f>
        <v>825</v>
      </c>
      <c r="D38" s="479">
        <f aca="true" t="shared" si="22" ref="D38:S38">D39+D40+D41+D42</f>
        <v>556</v>
      </c>
      <c r="E38" s="479">
        <f t="shared" si="22"/>
        <v>269</v>
      </c>
      <c r="F38" s="479">
        <f t="shared" si="22"/>
        <v>6</v>
      </c>
      <c r="G38" s="479">
        <f t="shared" si="22"/>
        <v>0</v>
      </c>
      <c r="H38" s="479">
        <f t="shared" si="22"/>
        <v>819</v>
      </c>
      <c r="I38" s="479">
        <f t="shared" si="22"/>
        <v>481</v>
      </c>
      <c r="J38" s="479">
        <f t="shared" si="22"/>
        <v>193</v>
      </c>
      <c r="K38" s="479">
        <f t="shared" si="22"/>
        <v>1</v>
      </c>
      <c r="L38" s="479">
        <f t="shared" si="22"/>
        <v>280</v>
      </c>
      <c r="M38" s="479">
        <f t="shared" si="22"/>
        <v>3</v>
      </c>
      <c r="N38" s="479">
        <f t="shared" si="22"/>
        <v>0</v>
      </c>
      <c r="O38" s="479">
        <f t="shared" si="22"/>
        <v>0</v>
      </c>
      <c r="P38" s="479">
        <f t="shared" si="22"/>
        <v>4</v>
      </c>
      <c r="Q38" s="479">
        <f t="shared" si="22"/>
        <v>338</v>
      </c>
      <c r="R38" s="479">
        <f t="shared" si="22"/>
        <v>625</v>
      </c>
      <c r="S38" s="479">
        <f t="shared" si="22"/>
        <v>156.15277168414173</v>
      </c>
      <c r="T38" s="477">
        <f t="shared" si="4"/>
        <v>0.5873015873015873</v>
      </c>
      <c r="U38" s="478">
        <f t="shared" si="5"/>
        <v>287</v>
      </c>
      <c r="V38" s="441">
        <f>V39+V40+V41+V42</f>
        <v>0</v>
      </c>
      <c r="W38" s="454">
        <f t="shared" si="2"/>
        <v>0</v>
      </c>
      <c r="X38" s="455">
        <f t="shared" si="6"/>
        <v>625</v>
      </c>
      <c r="Y38" s="455" t="str">
        <f t="shared" si="7"/>
        <v>Đ</v>
      </c>
      <c r="Z38" s="459">
        <f t="shared" si="8"/>
        <v>287</v>
      </c>
      <c r="AA38" s="459" t="e">
        <f>+AA39+AA40+AA41+#REF!</f>
        <v>#REF!</v>
      </c>
      <c r="AB38" s="501" t="e">
        <f t="shared" si="9"/>
        <v>#REF!</v>
      </c>
      <c r="AC38" s="463" t="e">
        <f t="shared" si="10"/>
        <v>#REF!</v>
      </c>
    </row>
    <row r="39" spans="1:29" ht="19.5" customHeight="1">
      <c r="A39" s="870" t="s">
        <v>113</v>
      </c>
      <c r="B39" s="416" t="s">
        <v>480</v>
      </c>
      <c r="C39" s="479">
        <f aca="true" t="shared" si="23" ref="C39:C80">+D39+E39</f>
        <v>137</v>
      </c>
      <c r="D39" s="483">
        <v>101</v>
      </c>
      <c r="E39" s="483">
        <v>36</v>
      </c>
      <c r="F39" s="483">
        <v>0</v>
      </c>
      <c r="G39" s="479"/>
      <c r="H39" s="479">
        <f>I39+Q39</f>
        <v>137</v>
      </c>
      <c r="I39" s="479">
        <f>J39+K39+L39+M39+N39+O39+P39</f>
        <v>88</v>
      </c>
      <c r="J39" s="483">
        <v>20</v>
      </c>
      <c r="K39" s="483"/>
      <c r="L39" s="483">
        <v>68</v>
      </c>
      <c r="M39" s="483"/>
      <c r="N39" s="483"/>
      <c r="O39" s="483"/>
      <c r="P39" s="484"/>
      <c r="Q39" s="445">
        <v>49</v>
      </c>
      <c r="R39" s="876">
        <f>+Q39+P39+O39+N39+M39+L39</f>
        <v>117</v>
      </c>
      <c r="S39" s="480">
        <f t="shared" si="1"/>
        <v>22.727272727272727</v>
      </c>
      <c r="T39" s="477">
        <f t="shared" si="4"/>
        <v>0.6423357664233577</v>
      </c>
      <c r="U39" s="478">
        <f t="shared" si="5"/>
        <v>68</v>
      </c>
      <c r="V39" s="443"/>
      <c r="W39" s="454">
        <f t="shared" si="2"/>
        <v>0</v>
      </c>
      <c r="X39" s="455">
        <f t="shared" si="6"/>
        <v>117</v>
      </c>
      <c r="Y39" s="455" t="str">
        <f t="shared" si="7"/>
        <v>Đ</v>
      </c>
      <c r="Z39" s="458">
        <f t="shared" si="8"/>
        <v>68</v>
      </c>
      <c r="AA39" s="458">
        <v>36</v>
      </c>
      <c r="AB39" s="501">
        <f t="shared" si="9"/>
        <v>88.88888888888889</v>
      </c>
      <c r="AC39" s="463">
        <f t="shared" si="10"/>
        <v>32</v>
      </c>
    </row>
    <row r="40" spans="1:29" ht="19.5" customHeight="1">
      <c r="A40" s="870" t="s">
        <v>114</v>
      </c>
      <c r="B40" s="416" t="s">
        <v>479</v>
      </c>
      <c r="C40" s="479">
        <f t="shared" si="23"/>
        <v>221</v>
      </c>
      <c r="D40" s="483">
        <v>124</v>
      </c>
      <c r="E40" s="483">
        <v>97</v>
      </c>
      <c r="F40" s="483">
        <v>4</v>
      </c>
      <c r="G40" s="479"/>
      <c r="H40" s="479">
        <f>I40+Q40</f>
        <v>217</v>
      </c>
      <c r="I40" s="479">
        <f>J40+K40+L40+M40+N40+O40+P40</f>
        <v>130</v>
      </c>
      <c r="J40" s="483">
        <v>65</v>
      </c>
      <c r="K40" s="483">
        <v>1</v>
      </c>
      <c r="L40" s="483">
        <v>64</v>
      </c>
      <c r="M40" s="483"/>
      <c r="N40" s="483"/>
      <c r="O40" s="483"/>
      <c r="P40" s="484"/>
      <c r="Q40" s="445">
        <v>87</v>
      </c>
      <c r="R40" s="876">
        <f>+Q40+P40+O40+N40+M40+L40</f>
        <v>151</v>
      </c>
      <c r="S40" s="480">
        <f t="shared" si="1"/>
        <v>50.76923076923077</v>
      </c>
      <c r="T40" s="477">
        <f t="shared" si="4"/>
        <v>0.5990783410138248</v>
      </c>
      <c r="U40" s="478">
        <f t="shared" si="5"/>
        <v>64</v>
      </c>
      <c r="V40" s="443"/>
      <c r="W40" s="454">
        <f t="shared" si="2"/>
        <v>0</v>
      </c>
      <c r="X40" s="455">
        <f t="shared" si="6"/>
        <v>151</v>
      </c>
      <c r="Y40" s="455" t="str">
        <f t="shared" si="7"/>
        <v>Đ</v>
      </c>
      <c r="Z40" s="458">
        <f t="shared" si="8"/>
        <v>64</v>
      </c>
      <c r="AA40" s="458">
        <v>98</v>
      </c>
      <c r="AB40" s="501">
        <f t="shared" si="9"/>
        <v>-34.69387755102041</v>
      </c>
      <c r="AC40" s="463">
        <f t="shared" si="10"/>
        <v>-34</v>
      </c>
    </row>
    <row r="41" spans="1:29" ht="19.5" customHeight="1">
      <c r="A41" s="870" t="s">
        <v>115</v>
      </c>
      <c r="B41" s="416" t="s">
        <v>545</v>
      </c>
      <c r="C41" s="479">
        <f t="shared" si="23"/>
        <v>195</v>
      </c>
      <c r="D41" s="483">
        <v>129</v>
      </c>
      <c r="E41" s="483">
        <v>66</v>
      </c>
      <c r="F41" s="483">
        <v>2</v>
      </c>
      <c r="G41" s="479"/>
      <c r="H41" s="479">
        <f>I41+Q41</f>
        <v>193</v>
      </c>
      <c r="I41" s="479">
        <f>J41+K41+L41+M41+N41+O41+P41</f>
        <v>121</v>
      </c>
      <c r="J41" s="483">
        <v>54</v>
      </c>
      <c r="K41" s="483"/>
      <c r="L41" s="483">
        <v>63</v>
      </c>
      <c r="M41" s="483"/>
      <c r="N41" s="483"/>
      <c r="O41" s="483"/>
      <c r="P41" s="484">
        <v>4</v>
      </c>
      <c r="Q41" s="445">
        <v>72</v>
      </c>
      <c r="R41" s="876">
        <f>+Q41+P41+O41+N41+M41+L41</f>
        <v>139</v>
      </c>
      <c r="S41" s="480">
        <f t="shared" si="1"/>
        <v>44.62809917355372</v>
      </c>
      <c r="T41" s="477">
        <f t="shared" si="4"/>
        <v>0.6269430051813472</v>
      </c>
      <c r="U41" s="478">
        <f t="shared" si="5"/>
        <v>67</v>
      </c>
      <c r="V41" s="443"/>
      <c r="W41" s="454">
        <f t="shared" si="2"/>
        <v>0</v>
      </c>
      <c r="X41" s="455">
        <f t="shared" si="6"/>
        <v>139</v>
      </c>
      <c r="Y41" s="455" t="str">
        <f t="shared" si="7"/>
        <v>Đ</v>
      </c>
      <c r="Z41" s="458">
        <f t="shared" si="8"/>
        <v>67</v>
      </c>
      <c r="AA41" s="458">
        <v>89</v>
      </c>
      <c r="AB41" s="501">
        <f t="shared" si="9"/>
        <v>-24.719101123595504</v>
      </c>
      <c r="AC41" s="463">
        <f t="shared" si="10"/>
        <v>-22</v>
      </c>
    </row>
    <row r="42" spans="1:29" ht="19.5" customHeight="1">
      <c r="A42" s="870" t="s">
        <v>478</v>
      </c>
      <c r="B42" s="871" t="s">
        <v>546</v>
      </c>
      <c r="C42" s="479">
        <f t="shared" si="23"/>
        <v>272</v>
      </c>
      <c r="D42" s="483">
        <v>202</v>
      </c>
      <c r="E42" s="483">
        <v>70</v>
      </c>
      <c r="F42" s="483">
        <v>0</v>
      </c>
      <c r="G42" s="479"/>
      <c r="H42" s="479">
        <f>I42+Q42</f>
        <v>272</v>
      </c>
      <c r="I42" s="479">
        <f>J42+K42+L42+M42+N42+O42+P42</f>
        <v>142</v>
      </c>
      <c r="J42" s="483">
        <v>54</v>
      </c>
      <c r="K42" s="483"/>
      <c r="L42" s="483">
        <v>85</v>
      </c>
      <c r="M42" s="483">
        <v>3</v>
      </c>
      <c r="N42" s="483"/>
      <c r="O42" s="483"/>
      <c r="P42" s="484"/>
      <c r="Q42" s="445">
        <v>130</v>
      </c>
      <c r="R42" s="876">
        <f>+Q42+P42+O42+N42+M42+L42</f>
        <v>218</v>
      </c>
      <c r="S42" s="480">
        <f t="shared" si="1"/>
        <v>38.028169014084504</v>
      </c>
      <c r="T42" s="477">
        <f t="shared" si="4"/>
        <v>0.5220588235294118</v>
      </c>
      <c r="U42" s="478">
        <f t="shared" si="5"/>
        <v>88</v>
      </c>
      <c r="V42" s="443"/>
      <c r="W42" s="454">
        <f t="shared" si="2"/>
        <v>0</v>
      </c>
      <c r="X42" s="455">
        <f t="shared" si="6"/>
        <v>218</v>
      </c>
      <c r="Y42" s="455" t="str">
        <f t="shared" si="7"/>
        <v>Đ</v>
      </c>
      <c r="Z42" s="458">
        <f t="shared" si="8"/>
        <v>88</v>
      </c>
      <c r="AA42" s="458"/>
      <c r="AB42" s="501" t="e">
        <f t="shared" si="9"/>
        <v>#DIV/0!</v>
      </c>
      <c r="AC42" s="463">
        <f t="shared" si="10"/>
        <v>88</v>
      </c>
    </row>
    <row r="43" spans="1:29" ht="19.5" customHeight="1">
      <c r="A43" s="894" t="s">
        <v>58</v>
      </c>
      <c r="B43" s="895" t="s">
        <v>477</v>
      </c>
      <c r="C43" s="479">
        <f t="shared" si="23"/>
        <v>689</v>
      </c>
      <c r="D43" s="479">
        <f>SUM(D44:D47)</f>
        <v>384</v>
      </c>
      <c r="E43" s="479">
        <f>SUM(E44:E47)</f>
        <v>305</v>
      </c>
      <c r="F43" s="479">
        <f>SUM(F44:F47)</f>
        <v>1</v>
      </c>
      <c r="G43" s="479">
        <f>SUM(G44:G47)</f>
        <v>0</v>
      </c>
      <c r="H43" s="479">
        <f aca="true" t="shared" si="24" ref="H43:H73">SUM(I43,Q43)</f>
        <v>688</v>
      </c>
      <c r="I43" s="479">
        <f aca="true" t="shared" si="25" ref="I43:I73">SUM(J43:P43)</f>
        <v>470</v>
      </c>
      <c r="J43" s="479">
        <f aca="true" t="shared" si="26" ref="J43:Q43">SUM(J44:J47)</f>
        <v>189</v>
      </c>
      <c r="K43" s="479">
        <f t="shared" si="26"/>
        <v>14</v>
      </c>
      <c r="L43" s="479">
        <f t="shared" si="26"/>
        <v>267</v>
      </c>
      <c r="M43" s="479">
        <f t="shared" si="26"/>
        <v>0</v>
      </c>
      <c r="N43" s="479">
        <f t="shared" si="26"/>
        <v>0</v>
      </c>
      <c r="O43" s="479">
        <f t="shared" si="26"/>
        <v>0</v>
      </c>
      <c r="P43" s="479">
        <f t="shared" si="26"/>
        <v>0</v>
      </c>
      <c r="Q43" s="479">
        <f t="shared" si="26"/>
        <v>218</v>
      </c>
      <c r="R43" s="876">
        <f aca="true" t="shared" si="27" ref="R43:R80">SUM(L43:Q43)</f>
        <v>485</v>
      </c>
      <c r="S43" s="480">
        <f t="shared" si="1"/>
        <v>43.19148936170213</v>
      </c>
      <c r="T43" s="477">
        <f t="shared" si="4"/>
        <v>0.6831395348837209</v>
      </c>
      <c r="U43" s="478">
        <f t="shared" si="5"/>
        <v>267</v>
      </c>
      <c r="V43" s="441">
        <f>+V44+V45+V46+V47</f>
        <v>0</v>
      </c>
      <c r="W43" s="454">
        <f t="shared" si="2"/>
        <v>0</v>
      </c>
      <c r="X43" s="455">
        <f t="shared" si="6"/>
        <v>485</v>
      </c>
      <c r="Y43" s="455" t="str">
        <f t="shared" si="7"/>
        <v>Đ</v>
      </c>
      <c r="Z43" s="459">
        <f t="shared" si="8"/>
        <v>267</v>
      </c>
      <c r="AA43" s="459">
        <f>+AA44+AA46+AA47</f>
        <v>193</v>
      </c>
      <c r="AB43" s="501">
        <f t="shared" si="9"/>
        <v>38.34196891191709</v>
      </c>
      <c r="AC43" s="463">
        <f t="shared" si="10"/>
        <v>74</v>
      </c>
    </row>
    <row r="44" spans="1:29" ht="19.5" customHeight="1">
      <c r="A44" s="870" t="s">
        <v>116</v>
      </c>
      <c r="B44" s="416" t="s">
        <v>476</v>
      </c>
      <c r="C44" s="479">
        <f t="shared" si="23"/>
        <v>101</v>
      </c>
      <c r="D44" s="472">
        <v>68</v>
      </c>
      <c r="E44" s="472">
        <v>33</v>
      </c>
      <c r="F44" s="472"/>
      <c r="G44" s="472"/>
      <c r="H44" s="479">
        <f>+I44+Q44</f>
        <v>101</v>
      </c>
      <c r="I44" s="479">
        <f>+J44+K44+L44+M44+N44+O44+P44</f>
        <v>47</v>
      </c>
      <c r="J44" s="472">
        <v>23</v>
      </c>
      <c r="K44" s="472">
        <v>1</v>
      </c>
      <c r="L44" s="472">
        <v>23</v>
      </c>
      <c r="M44" s="472">
        <v>0</v>
      </c>
      <c r="N44" s="472">
        <v>0</v>
      </c>
      <c r="O44" s="472">
        <v>0</v>
      </c>
      <c r="P44" s="473">
        <v>0</v>
      </c>
      <c r="Q44" s="474">
        <v>54</v>
      </c>
      <c r="R44" s="876">
        <f t="shared" si="27"/>
        <v>77</v>
      </c>
      <c r="S44" s="480">
        <f aca="true" t="shared" si="28" ref="S44:S80">(((J44+K44))/I44)*100</f>
        <v>51.06382978723404</v>
      </c>
      <c r="T44" s="477">
        <f t="shared" si="4"/>
        <v>0.46534653465346537</v>
      </c>
      <c r="U44" s="478">
        <f t="shared" si="5"/>
        <v>23</v>
      </c>
      <c r="V44" s="463"/>
      <c r="W44" s="454">
        <f t="shared" si="2"/>
        <v>0</v>
      </c>
      <c r="X44" s="455">
        <f t="shared" si="6"/>
        <v>77</v>
      </c>
      <c r="Y44" s="455" t="str">
        <f t="shared" si="7"/>
        <v>Đ</v>
      </c>
      <c r="Z44" s="458">
        <f t="shared" si="8"/>
        <v>23</v>
      </c>
      <c r="AA44" s="458">
        <v>90</v>
      </c>
      <c r="AB44" s="501">
        <f t="shared" si="9"/>
        <v>-74.44444444444444</v>
      </c>
      <c r="AC44" s="463">
        <f t="shared" si="10"/>
        <v>-67</v>
      </c>
    </row>
    <row r="45" spans="1:29" ht="19.5" customHeight="1">
      <c r="A45" s="870" t="s">
        <v>117</v>
      </c>
      <c r="B45" s="416" t="s">
        <v>463</v>
      </c>
      <c r="C45" s="479">
        <f t="shared" si="23"/>
        <v>217</v>
      </c>
      <c r="D45" s="472">
        <v>103</v>
      </c>
      <c r="E45" s="472">
        <v>114</v>
      </c>
      <c r="F45" s="472"/>
      <c r="G45" s="472"/>
      <c r="H45" s="479">
        <f>+I45+Q45</f>
        <v>217</v>
      </c>
      <c r="I45" s="479">
        <f>+J45+K45+L45+M45+N45+O45+P45</f>
        <v>162</v>
      </c>
      <c r="J45" s="472">
        <v>68</v>
      </c>
      <c r="K45" s="472">
        <v>5</v>
      </c>
      <c r="L45" s="472">
        <v>89</v>
      </c>
      <c r="M45" s="472">
        <v>0</v>
      </c>
      <c r="N45" s="472">
        <v>0</v>
      </c>
      <c r="O45" s="472">
        <v>0</v>
      </c>
      <c r="P45" s="473">
        <v>0</v>
      </c>
      <c r="Q45" s="474">
        <v>55</v>
      </c>
      <c r="R45" s="876">
        <f t="shared" si="27"/>
        <v>144</v>
      </c>
      <c r="S45" s="480">
        <f t="shared" si="28"/>
        <v>45.06172839506173</v>
      </c>
      <c r="T45" s="477">
        <f t="shared" si="4"/>
        <v>0.7465437788018433</v>
      </c>
      <c r="U45" s="478">
        <f t="shared" si="5"/>
        <v>89</v>
      </c>
      <c r="V45" s="463"/>
      <c r="W45" s="454">
        <f t="shared" si="2"/>
        <v>0</v>
      </c>
      <c r="X45" s="455">
        <f t="shared" si="6"/>
        <v>144</v>
      </c>
      <c r="Y45" s="455" t="str">
        <f t="shared" si="7"/>
        <v>Đ</v>
      </c>
      <c r="Z45" s="458"/>
      <c r="AA45" s="458"/>
      <c r="AB45" s="501"/>
      <c r="AC45" s="463"/>
    </row>
    <row r="46" spans="1:29" ht="19.5" customHeight="1">
      <c r="A46" s="870" t="s">
        <v>118</v>
      </c>
      <c r="B46" s="416" t="s">
        <v>475</v>
      </c>
      <c r="C46" s="479">
        <f t="shared" si="23"/>
        <v>173</v>
      </c>
      <c r="D46" s="472">
        <v>82</v>
      </c>
      <c r="E46" s="472">
        <v>91</v>
      </c>
      <c r="F46" s="472"/>
      <c r="G46" s="472"/>
      <c r="H46" s="479">
        <f>+I46+Q46</f>
        <v>173</v>
      </c>
      <c r="I46" s="479">
        <f>+J46+K46+L46+M46+N46+O46+P46</f>
        <v>125</v>
      </c>
      <c r="J46" s="472">
        <v>60</v>
      </c>
      <c r="K46" s="472">
        <v>5</v>
      </c>
      <c r="L46" s="472">
        <v>60</v>
      </c>
      <c r="M46" s="472">
        <v>0</v>
      </c>
      <c r="N46" s="472">
        <v>0</v>
      </c>
      <c r="O46" s="472">
        <v>0</v>
      </c>
      <c r="P46" s="473">
        <v>0</v>
      </c>
      <c r="Q46" s="474">
        <v>48</v>
      </c>
      <c r="R46" s="876">
        <f t="shared" si="27"/>
        <v>108</v>
      </c>
      <c r="S46" s="480">
        <f t="shared" si="28"/>
        <v>52</v>
      </c>
      <c r="T46" s="477">
        <f t="shared" si="4"/>
        <v>0.7225433526011561</v>
      </c>
      <c r="U46" s="478">
        <f t="shared" si="5"/>
        <v>60</v>
      </c>
      <c r="V46" s="463"/>
      <c r="W46" s="454">
        <f t="shared" si="2"/>
        <v>0</v>
      </c>
      <c r="X46" s="455">
        <f t="shared" si="6"/>
        <v>108</v>
      </c>
      <c r="Y46" s="455" t="str">
        <f t="shared" si="7"/>
        <v>Đ</v>
      </c>
      <c r="Z46" s="458">
        <f t="shared" si="8"/>
        <v>60</v>
      </c>
      <c r="AA46" s="458">
        <v>63</v>
      </c>
      <c r="AB46" s="501">
        <f t="shared" si="9"/>
        <v>-4.761904761904762</v>
      </c>
      <c r="AC46" s="463">
        <f t="shared" si="10"/>
        <v>-3</v>
      </c>
    </row>
    <row r="47" spans="1:29" ht="19.5" customHeight="1">
      <c r="A47" s="870" t="s">
        <v>119</v>
      </c>
      <c r="B47" s="416" t="s">
        <v>530</v>
      </c>
      <c r="C47" s="479">
        <f t="shared" si="23"/>
        <v>198</v>
      </c>
      <c r="D47" s="472">
        <v>131</v>
      </c>
      <c r="E47" s="472">
        <v>67</v>
      </c>
      <c r="F47" s="472">
        <v>1</v>
      </c>
      <c r="G47" s="472"/>
      <c r="H47" s="479">
        <f>+I47+Q47</f>
        <v>197</v>
      </c>
      <c r="I47" s="479">
        <f>+J47+K47+L47+M47+N47+O47+P47</f>
        <v>136</v>
      </c>
      <c r="J47" s="472">
        <v>38</v>
      </c>
      <c r="K47" s="472">
        <v>3</v>
      </c>
      <c r="L47" s="472">
        <v>95</v>
      </c>
      <c r="M47" s="472">
        <v>0</v>
      </c>
      <c r="N47" s="472">
        <v>0</v>
      </c>
      <c r="O47" s="472">
        <v>0</v>
      </c>
      <c r="P47" s="473">
        <v>0</v>
      </c>
      <c r="Q47" s="474">
        <v>61</v>
      </c>
      <c r="R47" s="876">
        <f t="shared" si="27"/>
        <v>156</v>
      </c>
      <c r="S47" s="480">
        <f t="shared" si="28"/>
        <v>30.14705882352941</v>
      </c>
      <c r="T47" s="477">
        <f t="shared" si="4"/>
        <v>0.6903553299492385</v>
      </c>
      <c r="U47" s="478">
        <f t="shared" si="5"/>
        <v>95</v>
      </c>
      <c r="V47" s="463"/>
      <c r="W47" s="454">
        <f t="shared" si="2"/>
        <v>0</v>
      </c>
      <c r="X47" s="455">
        <f t="shared" si="6"/>
        <v>156</v>
      </c>
      <c r="Y47" s="455" t="str">
        <f t="shared" si="7"/>
        <v>Đ</v>
      </c>
      <c r="Z47" s="458">
        <f t="shared" si="8"/>
        <v>95</v>
      </c>
      <c r="AA47" s="458">
        <v>40</v>
      </c>
      <c r="AB47" s="501">
        <f t="shared" si="9"/>
        <v>137.5</v>
      </c>
      <c r="AC47" s="463">
        <f t="shared" si="10"/>
        <v>55</v>
      </c>
    </row>
    <row r="48" spans="1:29" ht="19.5" customHeight="1">
      <c r="A48" s="894" t="s">
        <v>59</v>
      </c>
      <c r="B48" s="895" t="s">
        <v>474</v>
      </c>
      <c r="C48" s="479">
        <f t="shared" si="23"/>
        <v>806</v>
      </c>
      <c r="D48" s="479">
        <f aca="true" t="shared" si="29" ref="D48:R48">SUM(D49:D53)</f>
        <v>449</v>
      </c>
      <c r="E48" s="479">
        <f t="shared" si="29"/>
        <v>357</v>
      </c>
      <c r="F48" s="479">
        <f t="shared" si="29"/>
        <v>0</v>
      </c>
      <c r="G48" s="479">
        <f t="shared" si="29"/>
        <v>0</v>
      </c>
      <c r="H48" s="479">
        <f t="shared" si="29"/>
        <v>806</v>
      </c>
      <c r="I48" s="479">
        <f t="shared" si="29"/>
        <v>560</v>
      </c>
      <c r="J48" s="479">
        <f t="shared" si="29"/>
        <v>254</v>
      </c>
      <c r="K48" s="479">
        <f t="shared" si="29"/>
        <v>2</v>
      </c>
      <c r="L48" s="479">
        <f t="shared" si="29"/>
        <v>302</v>
      </c>
      <c r="M48" s="479">
        <f t="shared" si="29"/>
        <v>1</v>
      </c>
      <c r="N48" s="479">
        <f t="shared" si="29"/>
        <v>1</v>
      </c>
      <c r="O48" s="479">
        <f t="shared" si="29"/>
        <v>0</v>
      </c>
      <c r="P48" s="479">
        <f t="shared" si="29"/>
        <v>0</v>
      </c>
      <c r="Q48" s="479">
        <f t="shared" si="29"/>
        <v>246</v>
      </c>
      <c r="R48" s="479">
        <f t="shared" si="29"/>
        <v>550</v>
      </c>
      <c r="S48" s="480">
        <f t="shared" si="28"/>
        <v>45.714285714285715</v>
      </c>
      <c r="T48" s="477">
        <f t="shared" si="4"/>
        <v>0.6947890818858561</v>
      </c>
      <c r="U48" s="478">
        <f t="shared" si="5"/>
        <v>304</v>
      </c>
      <c r="V48" s="498">
        <f>+V49+V50+V51+V52+V53</f>
        <v>0</v>
      </c>
      <c r="W48" s="454">
        <f>+C48-(F48+G48+H48)</f>
        <v>0</v>
      </c>
      <c r="X48" s="455">
        <f t="shared" si="6"/>
        <v>550</v>
      </c>
      <c r="Y48" s="455" t="str">
        <f t="shared" si="7"/>
        <v>Đ</v>
      </c>
      <c r="Z48" s="459">
        <f t="shared" si="8"/>
        <v>304</v>
      </c>
      <c r="AA48" s="459">
        <v>210</v>
      </c>
      <c r="AB48" s="501">
        <f t="shared" si="9"/>
        <v>44.761904761904766</v>
      </c>
      <c r="AC48" s="463">
        <f t="shared" si="10"/>
        <v>94</v>
      </c>
    </row>
    <row r="49" spans="1:29" ht="19.5" customHeight="1">
      <c r="A49" s="870" t="s">
        <v>120</v>
      </c>
      <c r="B49" s="896" t="s">
        <v>567</v>
      </c>
      <c r="C49" s="479">
        <f t="shared" si="23"/>
        <v>206</v>
      </c>
      <c r="D49" s="897">
        <v>125</v>
      </c>
      <c r="E49" s="897">
        <v>81</v>
      </c>
      <c r="F49" s="495"/>
      <c r="G49" s="495"/>
      <c r="H49" s="479">
        <f>+I49+Q49</f>
        <v>206</v>
      </c>
      <c r="I49" s="479">
        <f>+J49+K49+L49+M49+N49+O49+P49</f>
        <v>121</v>
      </c>
      <c r="J49" s="897">
        <v>52</v>
      </c>
      <c r="K49" s="897">
        <v>0</v>
      </c>
      <c r="L49" s="897">
        <v>69</v>
      </c>
      <c r="M49" s="897">
        <v>0</v>
      </c>
      <c r="N49" s="897">
        <v>0</v>
      </c>
      <c r="O49" s="897">
        <v>0</v>
      </c>
      <c r="P49" s="897">
        <v>0</v>
      </c>
      <c r="Q49" s="897">
        <v>85</v>
      </c>
      <c r="R49" s="876">
        <f t="shared" si="27"/>
        <v>154</v>
      </c>
      <c r="S49" s="480">
        <f t="shared" si="28"/>
        <v>42.97520661157025</v>
      </c>
      <c r="T49" s="477">
        <f t="shared" si="4"/>
        <v>0.587378640776699</v>
      </c>
      <c r="U49" s="478">
        <f t="shared" si="5"/>
        <v>69</v>
      </c>
      <c r="V49" s="497"/>
      <c r="W49" s="454">
        <f aca="true" t="shared" si="30" ref="W49:W80">+C49-(F49+G49+H49)</f>
        <v>0</v>
      </c>
      <c r="X49" s="455">
        <f t="shared" si="6"/>
        <v>154</v>
      </c>
      <c r="Y49" s="455" t="str">
        <f t="shared" si="7"/>
        <v>Đ</v>
      </c>
      <c r="Z49" s="458">
        <f t="shared" si="8"/>
        <v>69</v>
      </c>
      <c r="AA49" s="458">
        <v>14</v>
      </c>
      <c r="AB49" s="501">
        <f t="shared" si="9"/>
        <v>392.85714285714283</v>
      </c>
      <c r="AC49" s="463">
        <f t="shared" si="10"/>
        <v>55</v>
      </c>
    </row>
    <row r="50" spans="1:29" ht="19.5" customHeight="1">
      <c r="A50" s="870" t="s">
        <v>121</v>
      </c>
      <c r="B50" s="896" t="s">
        <v>473</v>
      </c>
      <c r="C50" s="479">
        <f t="shared" si="23"/>
        <v>133</v>
      </c>
      <c r="D50" s="897">
        <v>48</v>
      </c>
      <c r="E50" s="897">
        <v>85</v>
      </c>
      <c r="F50" s="495"/>
      <c r="G50" s="495"/>
      <c r="H50" s="479">
        <f>+I50+Q50</f>
        <v>133</v>
      </c>
      <c r="I50" s="479">
        <f>+J50+K50+L50+M50+N50+O50+P50</f>
        <v>102</v>
      </c>
      <c r="J50" s="897">
        <v>59</v>
      </c>
      <c r="K50" s="897">
        <v>1</v>
      </c>
      <c r="L50" s="897">
        <v>42</v>
      </c>
      <c r="M50" s="897">
        <v>0</v>
      </c>
      <c r="N50" s="897">
        <v>0</v>
      </c>
      <c r="O50" s="897">
        <v>0</v>
      </c>
      <c r="P50" s="897">
        <v>0</v>
      </c>
      <c r="Q50" s="897">
        <v>31</v>
      </c>
      <c r="R50" s="876">
        <f t="shared" si="27"/>
        <v>73</v>
      </c>
      <c r="S50" s="480">
        <f t="shared" si="28"/>
        <v>58.82352941176471</v>
      </c>
      <c r="T50" s="477">
        <f t="shared" si="4"/>
        <v>0.7669172932330827</v>
      </c>
      <c r="U50" s="478">
        <f t="shared" si="5"/>
        <v>42</v>
      </c>
      <c r="V50" s="497"/>
      <c r="W50" s="454">
        <f t="shared" si="30"/>
        <v>0</v>
      </c>
      <c r="X50" s="455">
        <f t="shared" si="6"/>
        <v>73</v>
      </c>
      <c r="Y50" s="455" t="str">
        <f t="shared" si="7"/>
        <v>Đ</v>
      </c>
      <c r="Z50" s="459">
        <f t="shared" si="8"/>
        <v>42</v>
      </c>
      <c r="AA50" s="459">
        <v>65</v>
      </c>
      <c r="AB50" s="501">
        <f t="shared" si="9"/>
        <v>-35.38461538461539</v>
      </c>
      <c r="AC50" s="463">
        <f t="shared" si="10"/>
        <v>-23</v>
      </c>
    </row>
    <row r="51" spans="1:29" ht="19.5" customHeight="1">
      <c r="A51" s="870" t="s">
        <v>122</v>
      </c>
      <c r="B51" s="896" t="s">
        <v>484</v>
      </c>
      <c r="C51" s="479">
        <f t="shared" si="23"/>
        <v>97</v>
      </c>
      <c r="D51" s="897">
        <v>61</v>
      </c>
      <c r="E51" s="897">
        <v>36</v>
      </c>
      <c r="F51" s="495"/>
      <c r="G51" s="495"/>
      <c r="H51" s="479">
        <f>+I51+Q51</f>
        <v>97</v>
      </c>
      <c r="I51" s="479">
        <f>+J51+K51+L51+M51+N51+O51+P51</f>
        <v>63</v>
      </c>
      <c r="J51" s="897">
        <v>34</v>
      </c>
      <c r="K51" s="897">
        <v>0</v>
      </c>
      <c r="L51" s="897">
        <v>27</v>
      </c>
      <c r="M51" s="897">
        <v>1</v>
      </c>
      <c r="N51" s="897">
        <v>1</v>
      </c>
      <c r="O51" s="897">
        <v>0</v>
      </c>
      <c r="P51" s="897">
        <v>0</v>
      </c>
      <c r="Q51" s="897">
        <v>34</v>
      </c>
      <c r="R51" s="876">
        <f t="shared" si="27"/>
        <v>63</v>
      </c>
      <c r="S51" s="480">
        <f t="shared" si="28"/>
        <v>53.96825396825397</v>
      </c>
      <c r="T51" s="477">
        <f t="shared" si="4"/>
        <v>0.6494845360824743</v>
      </c>
      <c r="U51" s="478">
        <f t="shared" si="5"/>
        <v>29</v>
      </c>
      <c r="V51" s="497"/>
      <c r="W51" s="454">
        <f t="shared" si="30"/>
        <v>0</v>
      </c>
      <c r="X51" s="455">
        <f t="shared" si="6"/>
        <v>63</v>
      </c>
      <c r="Y51" s="455" t="str">
        <f t="shared" si="7"/>
        <v>Đ</v>
      </c>
      <c r="Z51" s="458">
        <f t="shared" si="8"/>
        <v>29</v>
      </c>
      <c r="AA51" s="458">
        <v>36</v>
      </c>
      <c r="AB51" s="501">
        <f t="shared" si="9"/>
        <v>-19.444444444444446</v>
      </c>
      <c r="AC51" s="463">
        <f t="shared" si="10"/>
        <v>-7</v>
      </c>
    </row>
    <row r="52" spans="1:29" ht="19.5" customHeight="1">
      <c r="A52" s="870" t="s">
        <v>472</v>
      </c>
      <c r="B52" s="896" t="s">
        <v>568</v>
      </c>
      <c r="C52" s="479">
        <f t="shared" si="23"/>
        <v>227</v>
      </c>
      <c r="D52" s="897">
        <v>137</v>
      </c>
      <c r="E52" s="897">
        <v>90</v>
      </c>
      <c r="F52" s="495"/>
      <c r="G52" s="495"/>
      <c r="H52" s="479">
        <f>+I52+Q52</f>
        <v>227</v>
      </c>
      <c r="I52" s="479">
        <f>+J52+K52+L52+M52+N52+O52+P52</f>
        <v>155</v>
      </c>
      <c r="J52" s="897">
        <v>45</v>
      </c>
      <c r="K52" s="897">
        <v>0</v>
      </c>
      <c r="L52" s="897">
        <v>110</v>
      </c>
      <c r="M52" s="897">
        <v>0</v>
      </c>
      <c r="N52" s="897">
        <v>0</v>
      </c>
      <c r="O52" s="897">
        <v>0</v>
      </c>
      <c r="P52" s="897">
        <v>0</v>
      </c>
      <c r="Q52" s="897">
        <v>72</v>
      </c>
      <c r="R52" s="876">
        <f t="shared" si="27"/>
        <v>182</v>
      </c>
      <c r="S52" s="480">
        <f t="shared" si="28"/>
        <v>29.03225806451613</v>
      </c>
      <c r="T52" s="477">
        <f t="shared" si="4"/>
        <v>0.6828193832599119</v>
      </c>
      <c r="U52" s="478">
        <f t="shared" si="5"/>
        <v>110</v>
      </c>
      <c r="V52" s="497"/>
      <c r="W52" s="454">
        <f t="shared" si="30"/>
        <v>0</v>
      </c>
      <c r="X52" s="455">
        <f t="shared" si="6"/>
        <v>182</v>
      </c>
      <c r="Y52" s="455" t="str">
        <f t="shared" si="7"/>
        <v>Đ</v>
      </c>
      <c r="Z52" s="458">
        <f t="shared" si="8"/>
        <v>110</v>
      </c>
      <c r="AA52" s="458"/>
      <c r="AB52" s="501" t="e">
        <f t="shared" si="9"/>
        <v>#DIV/0!</v>
      </c>
      <c r="AC52" s="463">
        <f t="shared" si="10"/>
        <v>110</v>
      </c>
    </row>
    <row r="53" spans="1:29" ht="19.5" customHeight="1">
      <c r="A53" s="870" t="s">
        <v>522</v>
      </c>
      <c r="B53" s="896" t="s">
        <v>471</v>
      </c>
      <c r="C53" s="479">
        <f t="shared" si="23"/>
        <v>143</v>
      </c>
      <c r="D53" s="897">
        <v>78</v>
      </c>
      <c r="E53" s="897">
        <v>65</v>
      </c>
      <c r="F53" s="495"/>
      <c r="G53" s="495"/>
      <c r="H53" s="479">
        <f>+I53+Q53</f>
        <v>143</v>
      </c>
      <c r="I53" s="479">
        <f>+J53+K53+L53+M53+N53+O53+P53</f>
        <v>119</v>
      </c>
      <c r="J53" s="897">
        <v>64</v>
      </c>
      <c r="K53" s="897">
        <v>1</v>
      </c>
      <c r="L53" s="897">
        <v>54</v>
      </c>
      <c r="M53" s="897">
        <v>0</v>
      </c>
      <c r="N53" s="897">
        <v>0</v>
      </c>
      <c r="O53" s="897">
        <v>0</v>
      </c>
      <c r="P53" s="897">
        <v>0</v>
      </c>
      <c r="Q53" s="897">
        <v>24</v>
      </c>
      <c r="R53" s="876">
        <f t="shared" si="27"/>
        <v>78</v>
      </c>
      <c r="S53" s="480">
        <f t="shared" si="28"/>
        <v>54.621848739495796</v>
      </c>
      <c r="T53" s="477">
        <f t="shared" si="4"/>
        <v>0.8321678321678322</v>
      </c>
      <c r="U53" s="478">
        <f t="shared" si="5"/>
        <v>54</v>
      </c>
      <c r="V53" s="497"/>
      <c r="W53" s="454">
        <f t="shared" si="30"/>
        <v>0</v>
      </c>
      <c r="X53" s="455">
        <f t="shared" si="6"/>
        <v>78</v>
      </c>
      <c r="Y53" s="455" t="str">
        <f t="shared" si="7"/>
        <v>Đ</v>
      </c>
      <c r="Z53" s="458">
        <f t="shared" si="8"/>
        <v>54</v>
      </c>
      <c r="AA53" s="458">
        <v>30</v>
      </c>
      <c r="AB53" s="501">
        <f t="shared" si="9"/>
        <v>80</v>
      </c>
      <c r="AC53" s="463">
        <f t="shared" si="10"/>
        <v>24</v>
      </c>
    </row>
    <row r="54" spans="1:29" ht="19.5" customHeight="1">
      <c r="A54" s="894" t="s">
        <v>60</v>
      </c>
      <c r="B54" s="895" t="s">
        <v>470</v>
      </c>
      <c r="C54" s="479">
        <f>+C55+C56+C57+C58+C59+C60</f>
        <v>1675</v>
      </c>
      <c r="D54" s="479">
        <f aca="true" t="shared" si="31" ref="D54:R54">+D55+D56+D57+D58+D59+D60</f>
        <v>1095</v>
      </c>
      <c r="E54" s="479">
        <f t="shared" si="31"/>
        <v>580</v>
      </c>
      <c r="F54" s="479">
        <f t="shared" si="31"/>
        <v>1</v>
      </c>
      <c r="G54" s="479">
        <f t="shared" si="31"/>
        <v>0</v>
      </c>
      <c r="H54" s="479">
        <f t="shared" si="31"/>
        <v>1674</v>
      </c>
      <c r="I54" s="479">
        <f t="shared" si="31"/>
        <v>1401</v>
      </c>
      <c r="J54" s="479">
        <f t="shared" si="31"/>
        <v>429</v>
      </c>
      <c r="K54" s="479">
        <f t="shared" si="31"/>
        <v>14</v>
      </c>
      <c r="L54" s="479">
        <f t="shared" si="31"/>
        <v>958</v>
      </c>
      <c r="M54" s="479">
        <f t="shared" si="31"/>
        <v>0</v>
      </c>
      <c r="N54" s="479">
        <f t="shared" si="31"/>
        <v>0</v>
      </c>
      <c r="O54" s="479">
        <f t="shared" si="31"/>
        <v>0</v>
      </c>
      <c r="P54" s="479">
        <f t="shared" si="31"/>
        <v>0</v>
      </c>
      <c r="Q54" s="479">
        <f t="shared" si="31"/>
        <v>273</v>
      </c>
      <c r="R54" s="479">
        <f t="shared" si="31"/>
        <v>1231</v>
      </c>
      <c r="S54" s="480">
        <f t="shared" si="28"/>
        <v>31.620271234832266</v>
      </c>
      <c r="T54" s="477">
        <f t="shared" si="4"/>
        <v>0.8369175627240143</v>
      </c>
      <c r="U54" s="478">
        <f t="shared" si="5"/>
        <v>958</v>
      </c>
      <c r="V54" s="441">
        <f>+V55+V56+V57+V58+V59+V60</f>
        <v>0</v>
      </c>
      <c r="W54" s="454">
        <f t="shared" si="30"/>
        <v>0</v>
      </c>
      <c r="X54" s="455">
        <f t="shared" si="6"/>
        <v>1231</v>
      </c>
      <c r="Y54" s="455" t="str">
        <f t="shared" si="7"/>
        <v>Đ</v>
      </c>
      <c r="Z54" s="459">
        <f t="shared" si="8"/>
        <v>958</v>
      </c>
      <c r="AA54" s="459">
        <v>384</v>
      </c>
      <c r="AB54" s="501">
        <f t="shared" si="9"/>
        <v>149.47916666666669</v>
      </c>
      <c r="AC54" s="463">
        <f t="shared" si="10"/>
        <v>574</v>
      </c>
    </row>
    <row r="55" spans="1:29" ht="19.5" customHeight="1">
      <c r="A55" s="870" t="s">
        <v>469</v>
      </c>
      <c r="B55" s="877" t="s">
        <v>493</v>
      </c>
      <c r="C55" s="479">
        <f t="shared" si="23"/>
        <v>290</v>
      </c>
      <c r="D55" s="483">
        <v>146</v>
      </c>
      <c r="E55" s="483">
        <v>144</v>
      </c>
      <c r="F55" s="483">
        <v>0</v>
      </c>
      <c r="G55" s="479"/>
      <c r="H55" s="479">
        <f t="shared" si="24"/>
        <v>290</v>
      </c>
      <c r="I55" s="479">
        <f t="shared" si="25"/>
        <v>221</v>
      </c>
      <c r="J55" s="483">
        <v>96</v>
      </c>
      <c r="K55" s="483">
        <v>0</v>
      </c>
      <c r="L55" s="483">
        <v>125</v>
      </c>
      <c r="M55" s="483"/>
      <c r="N55" s="483"/>
      <c r="O55" s="483"/>
      <c r="P55" s="484"/>
      <c r="Q55" s="445">
        <v>69</v>
      </c>
      <c r="R55" s="876">
        <f t="shared" si="27"/>
        <v>194</v>
      </c>
      <c r="S55" s="480">
        <f t="shared" si="28"/>
        <v>43.43891402714932</v>
      </c>
      <c r="T55" s="477">
        <f t="shared" si="4"/>
        <v>0.7620689655172413</v>
      </c>
      <c r="U55" s="478">
        <f t="shared" si="5"/>
        <v>125</v>
      </c>
      <c r="V55" s="487"/>
      <c r="W55" s="454">
        <f t="shared" si="30"/>
        <v>0</v>
      </c>
      <c r="X55" s="455">
        <f t="shared" si="6"/>
        <v>194</v>
      </c>
      <c r="Y55" s="455" t="str">
        <f t="shared" si="7"/>
        <v>Đ</v>
      </c>
      <c r="Z55" s="458">
        <f t="shared" si="8"/>
        <v>125</v>
      </c>
      <c r="AA55" s="458">
        <v>14</v>
      </c>
      <c r="AB55" s="501">
        <f t="shared" si="9"/>
        <v>792.8571428571429</v>
      </c>
      <c r="AC55" s="463">
        <f t="shared" si="10"/>
        <v>111</v>
      </c>
    </row>
    <row r="56" spans="1:29" ht="19.5" customHeight="1">
      <c r="A56" s="870" t="s">
        <v>468</v>
      </c>
      <c r="B56" s="877" t="s">
        <v>467</v>
      </c>
      <c r="C56" s="479">
        <f t="shared" si="23"/>
        <v>329</v>
      </c>
      <c r="D56" s="483">
        <v>260</v>
      </c>
      <c r="E56" s="483">
        <v>69</v>
      </c>
      <c r="F56" s="483"/>
      <c r="G56" s="479"/>
      <c r="H56" s="479">
        <f t="shared" si="24"/>
        <v>329</v>
      </c>
      <c r="I56" s="479">
        <f t="shared" si="25"/>
        <v>312</v>
      </c>
      <c r="J56" s="483">
        <v>82</v>
      </c>
      <c r="K56" s="483">
        <v>1</v>
      </c>
      <c r="L56" s="483">
        <v>229</v>
      </c>
      <c r="M56" s="483"/>
      <c r="N56" s="483"/>
      <c r="O56" s="483"/>
      <c r="P56" s="484"/>
      <c r="Q56" s="445">
        <v>17</v>
      </c>
      <c r="R56" s="876">
        <f t="shared" si="27"/>
        <v>246</v>
      </c>
      <c r="S56" s="480">
        <f t="shared" si="28"/>
        <v>26.602564102564102</v>
      </c>
      <c r="T56" s="477">
        <f t="shared" si="4"/>
        <v>0.9483282674772037</v>
      </c>
      <c r="U56" s="478">
        <f t="shared" si="5"/>
        <v>229</v>
      </c>
      <c r="V56" s="487"/>
      <c r="W56" s="454">
        <f t="shared" si="30"/>
        <v>0</v>
      </c>
      <c r="X56" s="455">
        <f t="shared" si="6"/>
        <v>246</v>
      </c>
      <c r="Y56" s="455" t="str">
        <f t="shared" si="7"/>
        <v>Đ</v>
      </c>
      <c r="Z56" s="458">
        <f t="shared" si="8"/>
        <v>229</v>
      </c>
      <c r="AA56" s="458">
        <v>94</v>
      </c>
      <c r="AB56" s="501">
        <f t="shared" si="9"/>
        <v>143.61702127659575</v>
      </c>
      <c r="AC56" s="463">
        <f t="shared" si="10"/>
        <v>135</v>
      </c>
    </row>
    <row r="57" spans="1:29" ht="19.5" customHeight="1">
      <c r="A57" s="870" t="s">
        <v>466</v>
      </c>
      <c r="B57" s="877" t="s">
        <v>465</v>
      </c>
      <c r="C57" s="479">
        <f t="shared" si="23"/>
        <v>385</v>
      </c>
      <c r="D57" s="483">
        <v>289</v>
      </c>
      <c r="E57" s="483">
        <v>96</v>
      </c>
      <c r="F57" s="483"/>
      <c r="G57" s="479"/>
      <c r="H57" s="479">
        <f t="shared" si="24"/>
        <v>385</v>
      </c>
      <c r="I57" s="479">
        <f t="shared" si="25"/>
        <v>326</v>
      </c>
      <c r="J57" s="483">
        <v>67</v>
      </c>
      <c r="K57" s="483">
        <v>1</v>
      </c>
      <c r="L57" s="483">
        <v>258</v>
      </c>
      <c r="M57" s="483"/>
      <c r="N57" s="483"/>
      <c r="O57" s="483"/>
      <c r="P57" s="484"/>
      <c r="Q57" s="445">
        <v>59</v>
      </c>
      <c r="R57" s="876">
        <f t="shared" si="27"/>
        <v>317</v>
      </c>
      <c r="S57" s="480">
        <f t="shared" si="28"/>
        <v>20.858895705521473</v>
      </c>
      <c r="T57" s="477">
        <f t="shared" si="4"/>
        <v>0.8467532467532467</v>
      </c>
      <c r="U57" s="478">
        <f t="shared" si="5"/>
        <v>258</v>
      </c>
      <c r="V57" s="487"/>
      <c r="W57" s="454">
        <f t="shared" si="30"/>
        <v>0</v>
      </c>
      <c r="X57" s="455">
        <f t="shared" si="6"/>
        <v>317</v>
      </c>
      <c r="Y57" s="455" t="str">
        <f t="shared" si="7"/>
        <v>Đ</v>
      </c>
      <c r="Z57" s="458">
        <f t="shared" si="8"/>
        <v>258</v>
      </c>
      <c r="AA57" s="458">
        <v>154</v>
      </c>
      <c r="AB57" s="501">
        <f t="shared" si="9"/>
        <v>67.53246753246754</v>
      </c>
      <c r="AC57" s="463">
        <f t="shared" si="10"/>
        <v>104</v>
      </c>
    </row>
    <row r="58" spans="1:29" ht="19.5" customHeight="1">
      <c r="A58" s="870" t="s">
        <v>464</v>
      </c>
      <c r="B58" s="877" t="s">
        <v>550</v>
      </c>
      <c r="C58" s="479">
        <f t="shared" si="23"/>
        <v>231</v>
      </c>
      <c r="D58" s="483">
        <v>165</v>
      </c>
      <c r="E58" s="483">
        <v>66</v>
      </c>
      <c r="F58" s="483">
        <v>1</v>
      </c>
      <c r="G58" s="479"/>
      <c r="H58" s="479">
        <f t="shared" si="24"/>
        <v>230</v>
      </c>
      <c r="I58" s="479">
        <f t="shared" si="25"/>
        <v>162</v>
      </c>
      <c r="J58" s="483">
        <v>41</v>
      </c>
      <c r="K58" s="483">
        <v>4</v>
      </c>
      <c r="L58" s="483">
        <v>117</v>
      </c>
      <c r="M58" s="483"/>
      <c r="N58" s="483"/>
      <c r="O58" s="483"/>
      <c r="P58" s="484"/>
      <c r="Q58" s="445">
        <v>68</v>
      </c>
      <c r="R58" s="876">
        <f t="shared" si="27"/>
        <v>185</v>
      </c>
      <c r="S58" s="480">
        <f t="shared" si="28"/>
        <v>27.77777777777778</v>
      </c>
      <c r="T58" s="477">
        <f t="shared" si="4"/>
        <v>0.7043478260869566</v>
      </c>
      <c r="U58" s="478">
        <f t="shared" si="5"/>
        <v>117</v>
      </c>
      <c r="V58" s="487"/>
      <c r="W58" s="454">
        <f t="shared" si="30"/>
        <v>0</v>
      </c>
      <c r="X58" s="455">
        <f t="shared" si="6"/>
        <v>185</v>
      </c>
      <c r="Y58" s="455" t="str">
        <f t="shared" si="7"/>
        <v>Đ</v>
      </c>
      <c r="Z58" s="458">
        <f t="shared" si="8"/>
        <v>117</v>
      </c>
      <c r="AA58" s="458">
        <v>50</v>
      </c>
      <c r="AB58" s="501">
        <f t="shared" si="9"/>
        <v>134</v>
      </c>
      <c r="AC58" s="463">
        <f t="shared" si="10"/>
        <v>67</v>
      </c>
    </row>
    <row r="59" spans="1:29" ht="19.5" customHeight="1">
      <c r="A59" s="870" t="s">
        <v>462</v>
      </c>
      <c r="B59" s="877" t="s">
        <v>516</v>
      </c>
      <c r="C59" s="479">
        <f t="shared" si="23"/>
        <v>265</v>
      </c>
      <c r="D59" s="483">
        <v>125</v>
      </c>
      <c r="E59" s="483">
        <v>140</v>
      </c>
      <c r="F59" s="483"/>
      <c r="G59" s="479"/>
      <c r="H59" s="479">
        <f t="shared" si="24"/>
        <v>265</v>
      </c>
      <c r="I59" s="479">
        <f t="shared" si="25"/>
        <v>248</v>
      </c>
      <c r="J59" s="483">
        <v>86</v>
      </c>
      <c r="K59" s="483">
        <v>2</v>
      </c>
      <c r="L59" s="483">
        <v>160</v>
      </c>
      <c r="M59" s="483"/>
      <c r="N59" s="483"/>
      <c r="O59" s="483"/>
      <c r="P59" s="484"/>
      <c r="Q59" s="445">
        <v>17</v>
      </c>
      <c r="R59" s="876">
        <f t="shared" si="27"/>
        <v>177</v>
      </c>
      <c r="S59" s="480">
        <f t="shared" si="28"/>
        <v>35.483870967741936</v>
      </c>
      <c r="T59" s="477">
        <f t="shared" si="4"/>
        <v>0.9358490566037736</v>
      </c>
      <c r="U59" s="478">
        <f t="shared" si="5"/>
        <v>160</v>
      </c>
      <c r="V59" s="487"/>
      <c r="W59" s="454">
        <f t="shared" si="30"/>
        <v>0</v>
      </c>
      <c r="X59" s="455">
        <f t="shared" si="6"/>
        <v>177</v>
      </c>
      <c r="Y59" s="455" t="str">
        <f>+IF(X58=R58,"Đ","S")</f>
        <v>Đ</v>
      </c>
      <c r="Z59" s="458"/>
      <c r="AA59" s="458"/>
      <c r="AB59" s="501"/>
      <c r="AC59" s="463"/>
    </row>
    <row r="60" spans="1:29" ht="19.5" customHeight="1">
      <c r="A60" s="870" t="s">
        <v>520</v>
      </c>
      <c r="B60" s="877" t="s">
        <v>534</v>
      </c>
      <c r="C60" s="479">
        <f t="shared" si="23"/>
        <v>175</v>
      </c>
      <c r="D60" s="849">
        <v>110</v>
      </c>
      <c r="E60" s="514">
        <v>65</v>
      </c>
      <c r="F60" s="513"/>
      <c r="G60" s="849"/>
      <c r="H60" s="479">
        <f t="shared" si="24"/>
        <v>175</v>
      </c>
      <c r="I60" s="479">
        <f t="shared" si="25"/>
        <v>132</v>
      </c>
      <c r="J60" s="479">
        <v>57</v>
      </c>
      <c r="K60" s="479">
        <v>6</v>
      </c>
      <c r="L60" s="479">
        <v>69</v>
      </c>
      <c r="M60" s="479"/>
      <c r="N60" s="479"/>
      <c r="O60" s="479"/>
      <c r="P60" s="479"/>
      <c r="Q60" s="513">
        <v>43</v>
      </c>
      <c r="R60" s="876">
        <f t="shared" si="27"/>
        <v>112</v>
      </c>
      <c r="S60" s="480">
        <f t="shared" si="28"/>
        <v>47.72727272727273</v>
      </c>
      <c r="T60" s="477">
        <f t="shared" si="4"/>
        <v>0.7542857142857143</v>
      </c>
      <c r="U60" s="478">
        <f t="shared" si="5"/>
        <v>69</v>
      </c>
      <c r="V60" s="487">
        <v>0</v>
      </c>
      <c r="W60" s="454">
        <f t="shared" si="30"/>
        <v>0</v>
      </c>
      <c r="X60" s="455">
        <f t="shared" si="6"/>
        <v>112</v>
      </c>
      <c r="Y60" s="455" t="str">
        <f t="shared" si="7"/>
        <v>Đ</v>
      </c>
      <c r="Z60" s="458">
        <f t="shared" si="8"/>
        <v>69</v>
      </c>
      <c r="AA60" s="458">
        <v>74</v>
      </c>
      <c r="AB60" s="501">
        <f t="shared" si="9"/>
        <v>-6.756756756756757</v>
      </c>
      <c r="AC60" s="463">
        <f t="shared" si="10"/>
        <v>-5</v>
      </c>
    </row>
    <row r="61" spans="1:29" ht="19.5" customHeight="1">
      <c r="A61" s="894" t="s">
        <v>61</v>
      </c>
      <c r="B61" s="895" t="s">
        <v>461</v>
      </c>
      <c r="C61" s="479">
        <f t="shared" si="23"/>
        <v>1688</v>
      </c>
      <c r="D61" s="479">
        <f>SUM(D62:D67)</f>
        <v>974</v>
      </c>
      <c r="E61" s="479">
        <f>SUM(E62:E67)</f>
        <v>714</v>
      </c>
      <c r="F61" s="479">
        <f>SUM(F62:F67)</f>
        <v>1</v>
      </c>
      <c r="G61" s="479">
        <f>SUM(G62:G67)</f>
        <v>0</v>
      </c>
      <c r="H61" s="479">
        <f t="shared" si="24"/>
        <v>1687</v>
      </c>
      <c r="I61" s="479">
        <f t="shared" si="25"/>
        <v>1259</v>
      </c>
      <c r="J61" s="479">
        <f aca="true" t="shared" si="32" ref="J61:Q61">SUM(J62:J67)</f>
        <v>477</v>
      </c>
      <c r="K61" s="479">
        <f t="shared" si="32"/>
        <v>22</v>
      </c>
      <c r="L61" s="479">
        <f t="shared" si="32"/>
        <v>753</v>
      </c>
      <c r="M61" s="479">
        <f t="shared" si="32"/>
        <v>1</v>
      </c>
      <c r="N61" s="479">
        <f t="shared" si="32"/>
        <v>2</v>
      </c>
      <c r="O61" s="479">
        <f t="shared" si="32"/>
        <v>0</v>
      </c>
      <c r="P61" s="479">
        <f t="shared" si="32"/>
        <v>4</v>
      </c>
      <c r="Q61" s="479">
        <f t="shared" si="32"/>
        <v>428</v>
      </c>
      <c r="R61" s="876">
        <f t="shared" si="27"/>
        <v>1188</v>
      </c>
      <c r="S61" s="480">
        <f t="shared" si="28"/>
        <v>39.634630659253375</v>
      </c>
      <c r="T61" s="477">
        <f t="shared" si="4"/>
        <v>0.7462951985773563</v>
      </c>
      <c r="U61" s="478">
        <f t="shared" si="5"/>
        <v>760</v>
      </c>
      <c r="V61" s="441">
        <f>+V62+V63+V64+V65+V67</f>
        <v>0</v>
      </c>
      <c r="W61" s="454">
        <f t="shared" si="30"/>
        <v>0</v>
      </c>
      <c r="X61" s="455">
        <f t="shared" si="6"/>
        <v>1188</v>
      </c>
      <c r="Y61" s="455" t="str">
        <f t="shared" si="7"/>
        <v>Đ</v>
      </c>
      <c r="Z61" s="459">
        <f t="shared" si="8"/>
        <v>760</v>
      </c>
      <c r="AA61" s="459">
        <f>+AA62+AA63+AA64+AA65+AA67+AA66</f>
        <v>285</v>
      </c>
      <c r="AB61" s="501">
        <f t="shared" si="9"/>
        <v>166.66666666666669</v>
      </c>
      <c r="AC61" s="463">
        <f t="shared" si="10"/>
        <v>475</v>
      </c>
    </row>
    <row r="62" spans="1:29" ht="19.5" customHeight="1">
      <c r="A62" s="870" t="s">
        <v>460</v>
      </c>
      <c r="B62" s="416" t="s">
        <v>459</v>
      </c>
      <c r="C62" s="479">
        <f t="shared" si="23"/>
        <v>142</v>
      </c>
      <c r="D62" s="479">
        <v>78</v>
      </c>
      <c r="E62" s="479">
        <v>64</v>
      </c>
      <c r="F62" s="479"/>
      <c r="G62" s="479"/>
      <c r="H62" s="479">
        <f t="shared" si="24"/>
        <v>142</v>
      </c>
      <c r="I62" s="479">
        <f t="shared" si="25"/>
        <v>108</v>
      </c>
      <c r="J62" s="479">
        <v>45</v>
      </c>
      <c r="K62" s="479"/>
      <c r="L62" s="479">
        <v>61</v>
      </c>
      <c r="M62" s="479"/>
      <c r="N62" s="479">
        <v>2</v>
      </c>
      <c r="O62" s="479"/>
      <c r="P62" s="479"/>
      <c r="Q62" s="479">
        <v>34</v>
      </c>
      <c r="R62" s="876">
        <f t="shared" si="27"/>
        <v>97</v>
      </c>
      <c r="S62" s="480">
        <f t="shared" si="28"/>
        <v>41.66666666666667</v>
      </c>
      <c r="T62" s="477">
        <f t="shared" si="4"/>
        <v>0.7605633802816901</v>
      </c>
      <c r="U62" s="478">
        <f t="shared" si="5"/>
        <v>63</v>
      </c>
      <c r="V62" s="490"/>
      <c r="W62" s="454">
        <f t="shared" si="30"/>
        <v>0</v>
      </c>
      <c r="X62" s="455">
        <f t="shared" si="6"/>
        <v>97</v>
      </c>
      <c r="Y62" s="455" t="str">
        <f t="shared" si="7"/>
        <v>Đ</v>
      </c>
      <c r="Z62" s="458">
        <f>+L62+M62+N62+O62+P62</f>
        <v>63</v>
      </c>
      <c r="AA62" s="458">
        <v>34</v>
      </c>
      <c r="AB62" s="501">
        <f t="shared" si="9"/>
        <v>85.29411764705883</v>
      </c>
      <c r="AC62" s="463">
        <f t="shared" si="10"/>
        <v>29</v>
      </c>
    </row>
    <row r="63" spans="1:29" ht="19.5" customHeight="1">
      <c r="A63" s="870" t="s">
        <v>458</v>
      </c>
      <c r="B63" s="416" t="s">
        <v>457</v>
      </c>
      <c r="C63" s="479">
        <f t="shared" si="23"/>
        <v>291</v>
      </c>
      <c r="D63" s="479">
        <v>124</v>
      </c>
      <c r="E63" s="479">
        <v>167</v>
      </c>
      <c r="F63" s="479"/>
      <c r="G63" s="479"/>
      <c r="H63" s="479">
        <f t="shared" si="24"/>
        <v>291</v>
      </c>
      <c r="I63" s="479">
        <f t="shared" si="25"/>
        <v>227</v>
      </c>
      <c r="J63" s="479">
        <v>129</v>
      </c>
      <c r="K63" s="479">
        <v>12</v>
      </c>
      <c r="L63" s="479">
        <v>86</v>
      </c>
      <c r="M63" s="479"/>
      <c r="N63" s="479"/>
      <c r="O63" s="479"/>
      <c r="P63" s="479"/>
      <c r="Q63" s="479">
        <v>64</v>
      </c>
      <c r="R63" s="876">
        <f t="shared" si="27"/>
        <v>150</v>
      </c>
      <c r="S63" s="480">
        <f t="shared" si="28"/>
        <v>62.11453744493392</v>
      </c>
      <c r="T63" s="477">
        <f t="shared" si="4"/>
        <v>0.7800687285223368</v>
      </c>
      <c r="U63" s="478">
        <f t="shared" si="5"/>
        <v>86</v>
      </c>
      <c r="V63" s="490"/>
      <c r="W63" s="454">
        <f t="shared" si="30"/>
        <v>0</v>
      </c>
      <c r="X63" s="455">
        <f t="shared" si="6"/>
        <v>150</v>
      </c>
      <c r="Y63" s="455" t="str">
        <f t="shared" si="7"/>
        <v>Đ</v>
      </c>
      <c r="Z63" s="458">
        <f t="shared" si="8"/>
        <v>86</v>
      </c>
      <c r="AA63" s="458">
        <v>79</v>
      </c>
      <c r="AB63" s="501">
        <f t="shared" si="9"/>
        <v>8.860759493670885</v>
      </c>
      <c r="AC63" s="463">
        <f t="shared" si="10"/>
        <v>7</v>
      </c>
    </row>
    <row r="64" spans="1:29" ht="19.5" customHeight="1">
      <c r="A64" s="870" t="s">
        <v>456</v>
      </c>
      <c r="B64" s="416" t="s">
        <v>455</v>
      </c>
      <c r="C64" s="479">
        <f t="shared" si="23"/>
        <v>246</v>
      </c>
      <c r="D64" s="479">
        <v>75</v>
      </c>
      <c r="E64" s="479">
        <v>171</v>
      </c>
      <c r="F64" s="479">
        <v>1</v>
      </c>
      <c r="G64" s="479"/>
      <c r="H64" s="479">
        <f t="shared" si="24"/>
        <v>245</v>
      </c>
      <c r="I64" s="479">
        <f t="shared" si="25"/>
        <v>222</v>
      </c>
      <c r="J64" s="479">
        <v>100</v>
      </c>
      <c r="K64" s="479">
        <v>5</v>
      </c>
      <c r="L64" s="479">
        <v>116</v>
      </c>
      <c r="M64" s="479">
        <v>1</v>
      </c>
      <c r="N64" s="479"/>
      <c r="O64" s="479"/>
      <c r="P64" s="479"/>
      <c r="Q64" s="479">
        <v>23</v>
      </c>
      <c r="R64" s="876">
        <f t="shared" si="27"/>
        <v>140</v>
      </c>
      <c r="S64" s="480">
        <f t="shared" si="28"/>
        <v>47.2972972972973</v>
      </c>
      <c r="T64" s="477">
        <f t="shared" si="4"/>
        <v>0.9061224489795918</v>
      </c>
      <c r="U64" s="478">
        <f t="shared" si="5"/>
        <v>117</v>
      </c>
      <c r="V64" s="490"/>
      <c r="W64" s="454">
        <f t="shared" si="30"/>
        <v>0</v>
      </c>
      <c r="X64" s="455">
        <f t="shared" si="6"/>
        <v>140</v>
      </c>
      <c r="Y64" s="455" t="str">
        <f t="shared" si="7"/>
        <v>Đ</v>
      </c>
      <c r="Z64" s="458">
        <f t="shared" si="8"/>
        <v>117</v>
      </c>
      <c r="AA64" s="458">
        <v>16</v>
      </c>
      <c r="AB64" s="501">
        <f t="shared" si="9"/>
        <v>631.25</v>
      </c>
      <c r="AC64" s="463">
        <f t="shared" si="10"/>
        <v>101</v>
      </c>
    </row>
    <row r="65" spans="1:29" ht="19.5" customHeight="1">
      <c r="A65" s="870" t="s">
        <v>454</v>
      </c>
      <c r="B65" s="416" t="s">
        <v>548</v>
      </c>
      <c r="C65" s="479">
        <f t="shared" si="23"/>
        <v>431</v>
      </c>
      <c r="D65" s="479">
        <v>334</v>
      </c>
      <c r="E65" s="479">
        <v>97</v>
      </c>
      <c r="F65" s="479"/>
      <c r="G65" s="479"/>
      <c r="H65" s="479">
        <f t="shared" si="24"/>
        <v>431</v>
      </c>
      <c r="I65" s="479">
        <f t="shared" si="25"/>
        <v>295</v>
      </c>
      <c r="J65" s="479">
        <v>70</v>
      </c>
      <c r="K65" s="479">
        <v>2</v>
      </c>
      <c r="L65" s="479">
        <v>223</v>
      </c>
      <c r="M65" s="479"/>
      <c r="N65" s="479"/>
      <c r="O65" s="479"/>
      <c r="P65" s="479"/>
      <c r="Q65" s="479">
        <v>136</v>
      </c>
      <c r="R65" s="876">
        <f t="shared" si="27"/>
        <v>359</v>
      </c>
      <c r="S65" s="480">
        <f t="shared" si="28"/>
        <v>24.40677966101695</v>
      </c>
      <c r="T65" s="477">
        <f t="shared" si="4"/>
        <v>0.6844547563805105</v>
      </c>
      <c r="U65" s="478">
        <f t="shared" si="5"/>
        <v>223</v>
      </c>
      <c r="V65" s="490"/>
      <c r="W65" s="454">
        <f t="shared" si="30"/>
        <v>0</v>
      </c>
      <c r="X65" s="455">
        <f t="shared" si="6"/>
        <v>359</v>
      </c>
      <c r="Y65" s="455" t="str">
        <f t="shared" si="7"/>
        <v>Đ</v>
      </c>
      <c r="Z65" s="505">
        <f t="shared" si="8"/>
        <v>223</v>
      </c>
      <c r="AA65" s="505"/>
      <c r="AB65" s="501" t="e">
        <f t="shared" si="9"/>
        <v>#DIV/0!</v>
      </c>
      <c r="AC65" s="463">
        <f t="shared" si="10"/>
        <v>223</v>
      </c>
    </row>
    <row r="66" spans="1:29" ht="19.5" customHeight="1">
      <c r="A66" s="870" t="s">
        <v>452</v>
      </c>
      <c r="B66" s="416" t="s">
        <v>453</v>
      </c>
      <c r="C66" s="479">
        <f t="shared" si="23"/>
        <v>408</v>
      </c>
      <c r="D66" s="479">
        <v>280</v>
      </c>
      <c r="E66" s="479">
        <v>128</v>
      </c>
      <c r="F66" s="479"/>
      <c r="G66" s="479"/>
      <c r="H66" s="479">
        <f t="shared" si="24"/>
        <v>408</v>
      </c>
      <c r="I66" s="479">
        <f t="shared" si="25"/>
        <v>243</v>
      </c>
      <c r="J66" s="479">
        <v>80</v>
      </c>
      <c r="K66" s="479">
        <v>3</v>
      </c>
      <c r="L66" s="479">
        <v>156</v>
      </c>
      <c r="M66" s="479"/>
      <c r="N66" s="479"/>
      <c r="O66" s="479"/>
      <c r="P66" s="479">
        <v>4</v>
      </c>
      <c r="Q66" s="479">
        <v>165</v>
      </c>
      <c r="R66" s="876">
        <f t="shared" si="27"/>
        <v>325</v>
      </c>
      <c r="S66" s="480">
        <f t="shared" si="28"/>
        <v>34.15637860082305</v>
      </c>
      <c r="T66" s="477">
        <f t="shared" si="4"/>
        <v>0.5955882352941176</v>
      </c>
      <c r="U66" s="478">
        <f t="shared" si="5"/>
        <v>160</v>
      </c>
      <c r="V66" s="490"/>
      <c r="W66" s="454">
        <f t="shared" si="30"/>
        <v>0</v>
      </c>
      <c r="X66" s="455">
        <f t="shared" si="6"/>
        <v>325</v>
      </c>
      <c r="Y66" s="455" t="str">
        <f t="shared" si="7"/>
        <v>Đ</v>
      </c>
      <c r="Z66" s="458">
        <f t="shared" si="8"/>
        <v>160</v>
      </c>
      <c r="AA66" s="458">
        <v>88</v>
      </c>
      <c r="AB66" s="501">
        <f t="shared" si="9"/>
        <v>81.81818181818183</v>
      </c>
      <c r="AC66" s="463"/>
    </row>
    <row r="67" spans="1:29" ht="19.5" customHeight="1">
      <c r="A67" s="870" t="s">
        <v>547</v>
      </c>
      <c r="B67" s="416" t="s">
        <v>549</v>
      </c>
      <c r="C67" s="479">
        <f t="shared" si="23"/>
        <v>170</v>
      </c>
      <c r="D67" s="479">
        <v>83</v>
      </c>
      <c r="E67" s="479">
        <v>87</v>
      </c>
      <c r="F67" s="479"/>
      <c r="G67" s="479"/>
      <c r="H67" s="479">
        <f t="shared" si="24"/>
        <v>170</v>
      </c>
      <c r="I67" s="479">
        <f t="shared" si="25"/>
        <v>164</v>
      </c>
      <c r="J67" s="479">
        <v>53</v>
      </c>
      <c r="K67" s="479"/>
      <c r="L67" s="479">
        <v>111</v>
      </c>
      <c r="M67" s="479"/>
      <c r="N67" s="479"/>
      <c r="O67" s="479"/>
      <c r="P67" s="479"/>
      <c r="Q67" s="479">
        <v>6</v>
      </c>
      <c r="R67" s="876">
        <f t="shared" si="27"/>
        <v>117</v>
      </c>
      <c r="S67" s="480">
        <f t="shared" si="28"/>
        <v>32.31707317073171</v>
      </c>
      <c r="T67" s="477">
        <f t="shared" si="4"/>
        <v>0.9647058823529412</v>
      </c>
      <c r="U67" s="478">
        <f t="shared" si="5"/>
        <v>111</v>
      </c>
      <c r="V67" s="490"/>
      <c r="W67" s="454">
        <f t="shared" si="30"/>
        <v>0</v>
      </c>
      <c r="X67" s="455">
        <f t="shared" si="6"/>
        <v>117</v>
      </c>
      <c r="Y67" s="455" t="str">
        <f t="shared" si="7"/>
        <v>Đ</v>
      </c>
      <c r="Z67" s="505">
        <f t="shared" si="8"/>
        <v>111</v>
      </c>
      <c r="AA67" s="505">
        <v>68</v>
      </c>
      <c r="AB67" s="501">
        <f t="shared" si="9"/>
        <v>63.23529411764706</v>
      </c>
      <c r="AC67" s="463">
        <f t="shared" si="10"/>
        <v>43</v>
      </c>
    </row>
    <row r="68" spans="1:29" ht="19.5" customHeight="1">
      <c r="A68" s="894" t="s">
        <v>62</v>
      </c>
      <c r="B68" s="895" t="s">
        <v>451</v>
      </c>
      <c r="C68" s="479">
        <f t="shared" si="23"/>
        <v>1943</v>
      </c>
      <c r="D68" s="479">
        <f>+D69+D70+D71+D72+D73+D74</f>
        <v>1261</v>
      </c>
      <c r="E68" s="479">
        <f>+E69+E70+E71+E72+E73+E74</f>
        <v>682</v>
      </c>
      <c r="F68" s="479">
        <f aca="true" t="shared" si="33" ref="F68:R68">+F69+F70+F71+F72+F73+F74</f>
        <v>1</v>
      </c>
      <c r="G68" s="479">
        <f t="shared" si="33"/>
        <v>0</v>
      </c>
      <c r="H68" s="479">
        <f t="shared" si="33"/>
        <v>1942</v>
      </c>
      <c r="I68" s="479">
        <f t="shared" si="33"/>
        <v>1486</v>
      </c>
      <c r="J68" s="479">
        <f t="shared" si="33"/>
        <v>298</v>
      </c>
      <c r="K68" s="479">
        <f t="shared" si="33"/>
        <v>5</v>
      </c>
      <c r="L68" s="479">
        <f t="shared" si="33"/>
        <v>1182</v>
      </c>
      <c r="M68" s="479">
        <f t="shared" si="33"/>
        <v>0</v>
      </c>
      <c r="N68" s="479">
        <f t="shared" si="33"/>
        <v>1</v>
      </c>
      <c r="O68" s="479">
        <f t="shared" si="33"/>
        <v>0</v>
      </c>
      <c r="P68" s="479">
        <f t="shared" si="33"/>
        <v>0</v>
      </c>
      <c r="Q68" s="479">
        <f t="shared" si="33"/>
        <v>456</v>
      </c>
      <c r="R68" s="479">
        <f t="shared" si="33"/>
        <v>1639</v>
      </c>
      <c r="S68" s="480">
        <f t="shared" si="28"/>
        <v>20.390309555854643</v>
      </c>
      <c r="T68" s="477">
        <f t="shared" si="4"/>
        <v>0.7651905252317199</v>
      </c>
      <c r="U68" s="478">
        <f t="shared" si="5"/>
        <v>1183</v>
      </c>
      <c r="V68" s="441">
        <f>+V69+V70+V71+V72+V73+V74</f>
        <v>0</v>
      </c>
      <c r="W68" s="454">
        <f t="shared" si="30"/>
        <v>0</v>
      </c>
      <c r="X68" s="455">
        <f t="shared" si="6"/>
        <v>1639</v>
      </c>
      <c r="Y68" s="455" t="str">
        <f t="shared" si="7"/>
        <v>Đ</v>
      </c>
      <c r="Z68" s="459">
        <f t="shared" si="8"/>
        <v>1183</v>
      </c>
      <c r="AA68" s="459">
        <f>+AA69+AA70+AA71+AA73+AA74</f>
        <v>627</v>
      </c>
      <c r="AB68" s="501">
        <f t="shared" si="9"/>
        <v>88.6762360446571</v>
      </c>
      <c r="AC68" s="463">
        <f t="shared" si="10"/>
        <v>556</v>
      </c>
    </row>
    <row r="69" spans="1:29" ht="19.5" customHeight="1">
      <c r="A69" s="870" t="s">
        <v>450</v>
      </c>
      <c r="B69" s="878" t="s">
        <v>553</v>
      </c>
      <c r="C69" s="479">
        <f t="shared" si="23"/>
        <v>845</v>
      </c>
      <c r="D69" s="512">
        <v>526</v>
      </c>
      <c r="E69" s="512">
        <v>319</v>
      </c>
      <c r="F69" s="512"/>
      <c r="G69" s="495"/>
      <c r="H69" s="479">
        <f t="shared" si="24"/>
        <v>845</v>
      </c>
      <c r="I69" s="479">
        <f t="shared" si="25"/>
        <v>644</v>
      </c>
      <c r="J69" s="512">
        <v>118</v>
      </c>
      <c r="K69" s="512">
        <v>2</v>
      </c>
      <c r="L69" s="512">
        <v>524</v>
      </c>
      <c r="M69" s="512"/>
      <c r="N69" s="512"/>
      <c r="O69" s="512"/>
      <c r="P69" s="512"/>
      <c r="Q69" s="512">
        <v>201</v>
      </c>
      <c r="R69" s="876">
        <f>+Q69+P69+O69+M69+L69</f>
        <v>725</v>
      </c>
      <c r="S69" s="480">
        <f t="shared" si="28"/>
        <v>18.633540372670808</v>
      </c>
      <c r="T69" s="477">
        <f t="shared" si="4"/>
        <v>0.762130177514793</v>
      </c>
      <c r="U69" s="478">
        <f t="shared" si="5"/>
        <v>524</v>
      </c>
      <c r="V69" s="492"/>
      <c r="W69" s="454">
        <f t="shared" si="30"/>
        <v>0</v>
      </c>
      <c r="X69" s="455">
        <f t="shared" si="6"/>
        <v>725</v>
      </c>
      <c r="Y69" s="455" t="str">
        <f t="shared" si="7"/>
        <v>Đ</v>
      </c>
      <c r="Z69" s="458">
        <f t="shared" si="8"/>
        <v>524</v>
      </c>
      <c r="AA69" s="458">
        <v>280</v>
      </c>
      <c r="AB69" s="501">
        <f t="shared" si="9"/>
        <v>87.14285714285714</v>
      </c>
      <c r="AC69" s="463">
        <f t="shared" si="10"/>
        <v>244</v>
      </c>
    </row>
    <row r="70" spans="1:29" ht="19.5" customHeight="1">
      <c r="A70" s="870" t="s">
        <v>448</v>
      </c>
      <c r="B70" s="878" t="s">
        <v>535</v>
      </c>
      <c r="C70" s="479">
        <f t="shared" si="23"/>
        <v>305</v>
      </c>
      <c r="D70" s="512">
        <v>238</v>
      </c>
      <c r="E70" s="512">
        <v>67</v>
      </c>
      <c r="F70" s="512"/>
      <c r="G70" s="495"/>
      <c r="H70" s="479">
        <f t="shared" si="24"/>
        <v>305</v>
      </c>
      <c r="I70" s="479">
        <f t="shared" si="25"/>
        <v>230</v>
      </c>
      <c r="J70" s="512">
        <v>36</v>
      </c>
      <c r="K70" s="512">
        <v>1</v>
      </c>
      <c r="L70" s="512">
        <v>193</v>
      </c>
      <c r="M70" s="512"/>
      <c r="N70" s="512"/>
      <c r="O70" s="512"/>
      <c r="P70" s="512"/>
      <c r="Q70" s="512">
        <v>75</v>
      </c>
      <c r="R70" s="876">
        <f>+Q70+P70+O70+M70+L70</f>
        <v>268</v>
      </c>
      <c r="S70" s="480">
        <f t="shared" si="28"/>
        <v>16.08695652173913</v>
      </c>
      <c r="T70" s="477">
        <f t="shared" si="4"/>
        <v>0.7540983606557377</v>
      </c>
      <c r="U70" s="478">
        <f t="shared" si="5"/>
        <v>193</v>
      </c>
      <c r="V70" s="492"/>
      <c r="W70" s="454">
        <f t="shared" si="30"/>
        <v>0</v>
      </c>
      <c r="X70" s="455">
        <f t="shared" si="6"/>
        <v>268</v>
      </c>
      <c r="Y70" s="455" t="str">
        <f t="shared" si="7"/>
        <v>Đ</v>
      </c>
      <c r="Z70" s="458">
        <f t="shared" si="8"/>
        <v>193</v>
      </c>
      <c r="AA70" s="458">
        <v>75</v>
      </c>
      <c r="AB70" s="501">
        <f t="shared" si="9"/>
        <v>157.33333333333331</v>
      </c>
      <c r="AC70" s="463">
        <f t="shared" si="10"/>
        <v>118</v>
      </c>
    </row>
    <row r="71" spans="1:29" ht="19.5" customHeight="1">
      <c r="A71" s="870" t="s">
        <v>447</v>
      </c>
      <c r="B71" s="879" t="s">
        <v>554</v>
      </c>
      <c r="C71" s="479">
        <f t="shared" si="23"/>
        <v>78</v>
      </c>
      <c r="D71" s="512">
        <v>44</v>
      </c>
      <c r="E71" s="512">
        <v>34</v>
      </c>
      <c r="F71" s="512"/>
      <c r="G71" s="495"/>
      <c r="H71" s="479">
        <f t="shared" si="24"/>
        <v>78</v>
      </c>
      <c r="I71" s="479">
        <f t="shared" si="25"/>
        <v>63</v>
      </c>
      <c r="J71" s="512">
        <v>16</v>
      </c>
      <c r="K71" s="512">
        <v>1</v>
      </c>
      <c r="L71" s="512">
        <v>46</v>
      </c>
      <c r="M71" s="512"/>
      <c r="N71" s="512">
        <v>0</v>
      </c>
      <c r="O71" s="512"/>
      <c r="P71" s="512"/>
      <c r="Q71" s="512">
        <v>15</v>
      </c>
      <c r="R71" s="876">
        <f>+Q71+P71+O71+M71+L71</f>
        <v>61</v>
      </c>
      <c r="S71" s="480">
        <f t="shared" si="28"/>
        <v>26.984126984126984</v>
      </c>
      <c r="T71" s="477">
        <f t="shared" si="4"/>
        <v>0.8076923076923077</v>
      </c>
      <c r="U71" s="478">
        <f t="shared" si="5"/>
        <v>46</v>
      </c>
      <c r="V71" s="492"/>
      <c r="W71" s="454">
        <f t="shared" si="30"/>
        <v>0</v>
      </c>
      <c r="X71" s="455">
        <f t="shared" si="6"/>
        <v>61</v>
      </c>
      <c r="Y71" s="455" t="str">
        <f t="shared" si="7"/>
        <v>Đ</v>
      </c>
      <c r="Z71" s="458">
        <f t="shared" si="8"/>
        <v>46</v>
      </c>
      <c r="AA71" s="458">
        <v>91</v>
      </c>
      <c r="AB71" s="501">
        <f t="shared" si="9"/>
        <v>-49.45054945054945</v>
      </c>
      <c r="AC71" s="463">
        <f t="shared" si="10"/>
        <v>-45</v>
      </c>
    </row>
    <row r="72" spans="1:29" ht="19.5" customHeight="1">
      <c r="A72" s="870" t="s">
        <v>446</v>
      </c>
      <c r="B72" s="879" t="s">
        <v>537</v>
      </c>
      <c r="C72" s="479">
        <f t="shared" si="23"/>
        <v>250</v>
      </c>
      <c r="D72" s="512">
        <v>116</v>
      </c>
      <c r="E72" s="512">
        <v>134</v>
      </c>
      <c r="F72" s="512">
        <v>1</v>
      </c>
      <c r="G72" s="495"/>
      <c r="H72" s="479">
        <f t="shared" si="24"/>
        <v>249</v>
      </c>
      <c r="I72" s="479">
        <f t="shared" si="25"/>
        <v>227</v>
      </c>
      <c r="J72" s="512">
        <v>55</v>
      </c>
      <c r="K72" s="512"/>
      <c r="L72" s="512">
        <v>172</v>
      </c>
      <c r="M72" s="512"/>
      <c r="N72" s="512"/>
      <c r="O72" s="512"/>
      <c r="P72" s="512"/>
      <c r="Q72" s="512">
        <v>22</v>
      </c>
      <c r="R72" s="876">
        <f>+Q72+P72+O72+M72+L72</f>
        <v>194</v>
      </c>
      <c r="S72" s="480">
        <f t="shared" si="28"/>
        <v>24.229074889867842</v>
      </c>
      <c r="T72" s="477">
        <f t="shared" si="4"/>
        <v>0.9116465863453815</v>
      </c>
      <c r="U72" s="478">
        <f t="shared" si="5"/>
        <v>172</v>
      </c>
      <c r="V72" s="492"/>
      <c r="W72" s="454">
        <f t="shared" si="30"/>
        <v>0</v>
      </c>
      <c r="X72" s="455">
        <f t="shared" si="6"/>
        <v>194</v>
      </c>
      <c r="Y72" s="455" t="str">
        <f t="shared" si="7"/>
        <v>Đ</v>
      </c>
      <c r="Z72" s="458"/>
      <c r="AA72" s="458"/>
      <c r="AB72" s="501"/>
      <c r="AC72" s="463"/>
    </row>
    <row r="73" spans="1:29" ht="19.5" customHeight="1">
      <c r="A73" s="870" t="s">
        <v>444</v>
      </c>
      <c r="B73" s="878" t="s">
        <v>555</v>
      </c>
      <c r="C73" s="479">
        <f t="shared" si="23"/>
        <v>205</v>
      </c>
      <c r="D73" s="512">
        <v>150</v>
      </c>
      <c r="E73" s="512">
        <v>55</v>
      </c>
      <c r="F73" s="512"/>
      <c r="G73" s="495"/>
      <c r="H73" s="479">
        <f t="shared" si="24"/>
        <v>205</v>
      </c>
      <c r="I73" s="479">
        <f t="shared" si="25"/>
        <v>126</v>
      </c>
      <c r="J73" s="512">
        <v>33</v>
      </c>
      <c r="K73" s="512"/>
      <c r="L73" s="512">
        <v>93</v>
      </c>
      <c r="M73" s="512"/>
      <c r="N73" s="512"/>
      <c r="O73" s="512"/>
      <c r="P73" s="512"/>
      <c r="Q73" s="512">
        <v>79</v>
      </c>
      <c r="R73" s="876">
        <f>+Q73+P73+O73+M73+L73</f>
        <v>172</v>
      </c>
      <c r="S73" s="480">
        <f t="shared" si="28"/>
        <v>26.190476190476193</v>
      </c>
      <c r="T73" s="477">
        <f t="shared" si="4"/>
        <v>0.6146341463414634</v>
      </c>
      <c r="U73" s="478">
        <f t="shared" si="5"/>
        <v>93</v>
      </c>
      <c r="V73" s="492"/>
      <c r="W73" s="454">
        <f t="shared" si="30"/>
        <v>0</v>
      </c>
      <c r="X73" s="455">
        <f t="shared" si="6"/>
        <v>172</v>
      </c>
      <c r="Y73" s="455" t="str">
        <f t="shared" si="7"/>
        <v>Đ</v>
      </c>
      <c r="Z73" s="458">
        <f t="shared" si="8"/>
        <v>93</v>
      </c>
      <c r="AA73" s="458">
        <v>68</v>
      </c>
      <c r="AB73" s="501">
        <f t="shared" si="9"/>
        <v>36.76470588235294</v>
      </c>
      <c r="AC73" s="463">
        <f t="shared" si="10"/>
        <v>25</v>
      </c>
    </row>
    <row r="74" spans="1:29" ht="19.5" customHeight="1">
      <c r="A74" s="870" t="s">
        <v>538</v>
      </c>
      <c r="B74" s="880" t="s">
        <v>539</v>
      </c>
      <c r="C74" s="479">
        <f t="shared" si="23"/>
        <v>260</v>
      </c>
      <c r="D74" s="490" t="s">
        <v>562</v>
      </c>
      <c r="E74" s="490" t="s">
        <v>569</v>
      </c>
      <c r="F74" s="490"/>
      <c r="G74" s="495"/>
      <c r="H74" s="479">
        <f>+I74+Q74</f>
        <v>260</v>
      </c>
      <c r="I74" s="479">
        <f>+J74+K74+L74+M74+N74+O74+P74</f>
        <v>196</v>
      </c>
      <c r="J74" s="490" t="s">
        <v>570</v>
      </c>
      <c r="K74" s="490" t="s">
        <v>43</v>
      </c>
      <c r="L74" s="490" t="s">
        <v>571</v>
      </c>
      <c r="M74" s="490"/>
      <c r="N74" s="490" t="s">
        <v>43</v>
      </c>
      <c r="O74" s="490"/>
      <c r="P74" s="490"/>
      <c r="Q74" s="490" t="s">
        <v>563</v>
      </c>
      <c r="R74" s="876">
        <f>+Q74+P74+O74+N74+M74+L74</f>
        <v>219</v>
      </c>
      <c r="S74" s="480">
        <f t="shared" si="28"/>
        <v>20.918367346938776</v>
      </c>
      <c r="T74" s="477">
        <f t="shared" si="4"/>
        <v>0.7538461538461538</v>
      </c>
      <c r="U74" s="478">
        <f t="shared" si="5"/>
        <v>155</v>
      </c>
      <c r="V74" s="492"/>
      <c r="W74" s="454">
        <f t="shared" si="30"/>
        <v>0</v>
      </c>
      <c r="X74" s="455">
        <f>+L74+M74+N74+O74+P74+Q74</f>
        <v>219</v>
      </c>
      <c r="Y74" s="455" t="str">
        <f t="shared" si="7"/>
        <v>Đ</v>
      </c>
      <c r="Z74" s="458">
        <f t="shared" si="8"/>
        <v>155</v>
      </c>
      <c r="AA74" s="458">
        <v>113</v>
      </c>
      <c r="AB74" s="501">
        <f t="shared" si="9"/>
        <v>37.16814159292036</v>
      </c>
      <c r="AC74" s="463">
        <f t="shared" si="10"/>
        <v>42</v>
      </c>
    </row>
    <row r="75" spans="1:29" ht="19.5" customHeight="1">
      <c r="A75" s="894" t="s">
        <v>63</v>
      </c>
      <c r="B75" s="895" t="s">
        <v>443</v>
      </c>
      <c r="C75" s="479">
        <f t="shared" si="23"/>
        <v>956</v>
      </c>
      <c r="D75" s="479">
        <f>SUM(D76:D80)</f>
        <v>599</v>
      </c>
      <c r="E75" s="479">
        <f>SUM(E76:E80)</f>
        <v>357</v>
      </c>
      <c r="F75" s="479">
        <f>SUM(F76:F80)</f>
        <v>0</v>
      </c>
      <c r="G75" s="479">
        <f>SUM(G76:G80)</f>
        <v>0</v>
      </c>
      <c r="H75" s="479">
        <f aca="true" t="shared" si="34" ref="H75:H80">I75+Q75</f>
        <v>956</v>
      </c>
      <c r="I75" s="479">
        <f aca="true" t="shared" si="35" ref="I75:Q75">SUM(I76:I80)</f>
        <v>676</v>
      </c>
      <c r="J75" s="479">
        <f t="shared" si="35"/>
        <v>227</v>
      </c>
      <c r="K75" s="479">
        <f t="shared" si="35"/>
        <v>11</v>
      </c>
      <c r="L75" s="479">
        <f t="shared" si="35"/>
        <v>436</v>
      </c>
      <c r="M75" s="479">
        <f t="shared" si="35"/>
        <v>2</v>
      </c>
      <c r="N75" s="479">
        <f t="shared" si="35"/>
        <v>0</v>
      </c>
      <c r="O75" s="479">
        <f t="shared" si="35"/>
        <v>0</v>
      </c>
      <c r="P75" s="479">
        <f t="shared" si="35"/>
        <v>0</v>
      </c>
      <c r="Q75" s="479">
        <f t="shared" si="35"/>
        <v>280</v>
      </c>
      <c r="R75" s="876">
        <f t="shared" si="27"/>
        <v>718</v>
      </c>
      <c r="S75" s="480">
        <f t="shared" si="28"/>
        <v>35.20710059171598</v>
      </c>
      <c r="T75" s="477">
        <f t="shared" si="4"/>
        <v>0.7071129707112971</v>
      </c>
      <c r="U75" s="478">
        <f t="shared" si="5"/>
        <v>438</v>
      </c>
      <c r="V75" s="475">
        <f>SUM(V76:V80)</f>
        <v>0</v>
      </c>
      <c r="W75" s="454">
        <f t="shared" si="30"/>
        <v>0</v>
      </c>
      <c r="X75" s="455">
        <f t="shared" si="6"/>
        <v>718</v>
      </c>
      <c r="Y75" s="455" t="str">
        <f t="shared" si="7"/>
        <v>Đ</v>
      </c>
      <c r="Z75" s="459">
        <f t="shared" si="8"/>
        <v>438</v>
      </c>
      <c r="AA75" s="459">
        <f>+AA76+AA77+AA79+AA80</f>
        <v>296</v>
      </c>
      <c r="AB75" s="501">
        <f t="shared" si="9"/>
        <v>47.97297297297297</v>
      </c>
      <c r="AC75" s="463">
        <f t="shared" si="10"/>
        <v>142</v>
      </c>
    </row>
    <row r="76" spans="1:29" ht="19.5" customHeight="1">
      <c r="A76" s="870" t="s">
        <v>442</v>
      </c>
      <c r="B76" s="416" t="s">
        <v>441</v>
      </c>
      <c r="C76" s="479">
        <f t="shared" si="23"/>
        <v>78</v>
      </c>
      <c r="D76" s="472">
        <v>54</v>
      </c>
      <c r="E76" s="472">
        <v>24</v>
      </c>
      <c r="F76" s="472">
        <v>0</v>
      </c>
      <c r="G76" s="479"/>
      <c r="H76" s="479">
        <f t="shared" si="34"/>
        <v>78</v>
      </c>
      <c r="I76" s="479">
        <f>SUM(J76:P76)</f>
        <v>40</v>
      </c>
      <c r="J76" s="472">
        <v>13</v>
      </c>
      <c r="K76" s="472">
        <v>2</v>
      </c>
      <c r="L76" s="472">
        <v>25</v>
      </c>
      <c r="M76" s="472">
        <v>0</v>
      </c>
      <c r="N76" s="472"/>
      <c r="O76" s="472"/>
      <c r="P76" s="473">
        <v>0</v>
      </c>
      <c r="Q76" s="474">
        <v>38</v>
      </c>
      <c r="R76" s="876">
        <f t="shared" si="27"/>
        <v>63</v>
      </c>
      <c r="S76" s="480">
        <f t="shared" si="28"/>
        <v>37.5</v>
      </c>
      <c r="T76" s="477">
        <f t="shared" si="4"/>
        <v>0.5128205128205128</v>
      </c>
      <c r="U76" s="478">
        <f t="shared" si="5"/>
        <v>25</v>
      </c>
      <c r="V76" s="478"/>
      <c r="W76" s="454">
        <f t="shared" si="30"/>
        <v>0</v>
      </c>
      <c r="X76" s="455">
        <f t="shared" si="6"/>
        <v>63</v>
      </c>
      <c r="Y76" s="455" t="str">
        <f t="shared" si="7"/>
        <v>Đ</v>
      </c>
      <c r="Z76" s="458">
        <f t="shared" si="8"/>
        <v>25</v>
      </c>
      <c r="AA76" s="458">
        <v>29</v>
      </c>
      <c r="AB76" s="501">
        <f t="shared" si="9"/>
        <v>-13.793103448275861</v>
      </c>
      <c r="AC76" s="463">
        <f t="shared" si="10"/>
        <v>-4</v>
      </c>
    </row>
    <row r="77" spans="1:29" ht="19.5" customHeight="1">
      <c r="A77" s="870" t="s">
        <v>440</v>
      </c>
      <c r="B77" s="416" t="s">
        <v>439</v>
      </c>
      <c r="C77" s="479">
        <f t="shared" si="23"/>
        <v>251</v>
      </c>
      <c r="D77" s="472">
        <v>160</v>
      </c>
      <c r="E77" s="472">
        <v>91</v>
      </c>
      <c r="F77" s="472">
        <v>0</v>
      </c>
      <c r="G77" s="479"/>
      <c r="H77" s="479">
        <f t="shared" si="34"/>
        <v>251</v>
      </c>
      <c r="I77" s="479">
        <f>SUM(J77:P77)</f>
        <v>190</v>
      </c>
      <c r="J77" s="472">
        <v>60</v>
      </c>
      <c r="K77" s="472">
        <v>1</v>
      </c>
      <c r="L77" s="472">
        <v>127</v>
      </c>
      <c r="M77" s="472">
        <v>2</v>
      </c>
      <c r="N77" s="472"/>
      <c r="O77" s="472"/>
      <c r="P77" s="473"/>
      <c r="Q77" s="474">
        <v>61</v>
      </c>
      <c r="R77" s="876">
        <f t="shared" si="27"/>
        <v>190</v>
      </c>
      <c r="S77" s="480">
        <f t="shared" si="28"/>
        <v>32.10526315789474</v>
      </c>
      <c r="T77" s="477">
        <f t="shared" si="4"/>
        <v>0.7569721115537849</v>
      </c>
      <c r="U77" s="478">
        <f t="shared" si="5"/>
        <v>129</v>
      </c>
      <c r="V77" s="478"/>
      <c r="W77" s="454">
        <f t="shared" si="30"/>
        <v>0</v>
      </c>
      <c r="X77" s="455">
        <f t="shared" si="6"/>
        <v>190</v>
      </c>
      <c r="Y77" s="455" t="str">
        <f t="shared" si="7"/>
        <v>Đ</v>
      </c>
      <c r="Z77" s="458">
        <f t="shared" si="8"/>
        <v>129</v>
      </c>
      <c r="AA77" s="458">
        <v>49</v>
      </c>
      <c r="AB77" s="501">
        <f t="shared" si="9"/>
        <v>163.26530612244898</v>
      </c>
      <c r="AC77" s="463">
        <f t="shared" si="10"/>
        <v>80</v>
      </c>
    </row>
    <row r="78" spans="1:29" ht="19.5" customHeight="1">
      <c r="A78" s="870" t="s">
        <v>438</v>
      </c>
      <c r="B78" s="416" t="s">
        <v>541</v>
      </c>
      <c r="C78" s="479">
        <f t="shared" si="23"/>
        <v>248</v>
      </c>
      <c r="D78" s="472">
        <v>156</v>
      </c>
      <c r="E78" s="472">
        <v>92</v>
      </c>
      <c r="F78" s="472">
        <v>0</v>
      </c>
      <c r="G78" s="479"/>
      <c r="H78" s="479">
        <f t="shared" si="34"/>
        <v>248</v>
      </c>
      <c r="I78" s="479">
        <f>SUM(J78:P78)</f>
        <v>183</v>
      </c>
      <c r="J78" s="472">
        <v>72</v>
      </c>
      <c r="K78" s="472">
        <v>1</v>
      </c>
      <c r="L78" s="472">
        <v>110</v>
      </c>
      <c r="M78" s="472">
        <v>0</v>
      </c>
      <c r="N78" s="472"/>
      <c r="O78" s="472"/>
      <c r="P78" s="473">
        <v>0</v>
      </c>
      <c r="Q78" s="474">
        <v>65</v>
      </c>
      <c r="R78" s="876">
        <f t="shared" si="27"/>
        <v>175</v>
      </c>
      <c r="S78" s="480">
        <f t="shared" si="28"/>
        <v>39.89071038251366</v>
      </c>
      <c r="T78" s="477">
        <f t="shared" si="4"/>
        <v>0.7379032258064516</v>
      </c>
      <c r="U78" s="478">
        <f t="shared" si="5"/>
        <v>110</v>
      </c>
      <c r="V78" s="478"/>
      <c r="W78" s="454">
        <f t="shared" si="30"/>
        <v>0</v>
      </c>
      <c r="X78" s="455">
        <f t="shared" si="6"/>
        <v>175</v>
      </c>
      <c r="Y78" s="455" t="str">
        <f t="shared" si="7"/>
        <v>Đ</v>
      </c>
      <c r="Z78" s="458">
        <f t="shared" si="8"/>
        <v>110</v>
      </c>
      <c r="AA78" s="458"/>
      <c r="AB78" s="501"/>
      <c r="AC78" s="463"/>
    </row>
    <row r="79" spans="1:29" ht="19.5" customHeight="1">
      <c r="A79" s="870" t="s">
        <v>437</v>
      </c>
      <c r="B79" s="416" t="s">
        <v>436</v>
      </c>
      <c r="C79" s="479">
        <f t="shared" si="23"/>
        <v>215</v>
      </c>
      <c r="D79" s="472">
        <v>129</v>
      </c>
      <c r="E79" s="472">
        <v>86</v>
      </c>
      <c r="F79" s="472">
        <v>0</v>
      </c>
      <c r="G79" s="849"/>
      <c r="H79" s="479">
        <f t="shared" si="34"/>
        <v>215</v>
      </c>
      <c r="I79" s="479">
        <f>SUM(J79:P79)</f>
        <v>147</v>
      </c>
      <c r="J79" s="472">
        <v>43</v>
      </c>
      <c r="K79" s="849">
        <v>3</v>
      </c>
      <c r="L79" s="472">
        <v>101</v>
      </c>
      <c r="M79" s="849"/>
      <c r="N79" s="849">
        <v>0</v>
      </c>
      <c r="O79" s="849"/>
      <c r="P79" s="849"/>
      <c r="Q79" s="474">
        <v>68</v>
      </c>
      <c r="R79" s="876">
        <f t="shared" si="27"/>
        <v>169</v>
      </c>
      <c r="S79" s="480">
        <f t="shared" si="28"/>
        <v>31.292517006802722</v>
      </c>
      <c r="T79" s="477">
        <f t="shared" si="4"/>
        <v>0.6837209302325581</v>
      </c>
      <c r="U79" s="478">
        <f t="shared" si="5"/>
        <v>101</v>
      </c>
      <c r="V79" s="478"/>
      <c r="W79" s="454">
        <f t="shared" si="30"/>
        <v>0</v>
      </c>
      <c r="X79" s="455">
        <f t="shared" si="6"/>
        <v>169</v>
      </c>
      <c r="Y79" s="455" t="str">
        <f t="shared" si="7"/>
        <v>Đ</v>
      </c>
      <c r="Z79" s="458">
        <f t="shared" si="8"/>
        <v>101</v>
      </c>
      <c r="AA79" s="458">
        <v>106</v>
      </c>
      <c r="AB79" s="501">
        <f t="shared" si="9"/>
        <v>-4.716981132075472</v>
      </c>
      <c r="AC79" s="463">
        <f t="shared" si="10"/>
        <v>-5</v>
      </c>
    </row>
    <row r="80" spans="1:29" ht="19.5" customHeight="1">
      <c r="A80" s="870" t="s">
        <v>540</v>
      </c>
      <c r="B80" s="471" t="s">
        <v>518</v>
      </c>
      <c r="C80" s="479">
        <f t="shared" si="23"/>
        <v>164</v>
      </c>
      <c r="D80" s="472">
        <v>100</v>
      </c>
      <c r="E80" s="472">
        <v>64</v>
      </c>
      <c r="F80" s="472">
        <v>0</v>
      </c>
      <c r="G80" s="479"/>
      <c r="H80" s="479">
        <f t="shared" si="34"/>
        <v>164</v>
      </c>
      <c r="I80" s="479">
        <f>SUM(J80:P80)</f>
        <v>116</v>
      </c>
      <c r="J80" s="472">
        <v>39</v>
      </c>
      <c r="K80" s="472">
        <v>4</v>
      </c>
      <c r="L80" s="472">
        <v>73</v>
      </c>
      <c r="M80" s="472"/>
      <c r="N80" s="472">
        <v>0</v>
      </c>
      <c r="O80" s="472"/>
      <c r="P80" s="473">
        <v>0</v>
      </c>
      <c r="Q80" s="474">
        <v>48</v>
      </c>
      <c r="R80" s="876">
        <f t="shared" si="27"/>
        <v>121</v>
      </c>
      <c r="S80" s="480">
        <f t="shared" si="28"/>
        <v>37.06896551724138</v>
      </c>
      <c r="T80" s="477">
        <f t="shared" si="4"/>
        <v>0.7073170731707317</v>
      </c>
      <c r="U80" s="478">
        <f t="shared" si="5"/>
        <v>73</v>
      </c>
      <c r="V80" s="478"/>
      <c r="W80" s="454">
        <f t="shared" si="30"/>
        <v>0</v>
      </c>
      <c r="X80" s="455">
        <f t="shared" si="6"/>
        <v>121</v>
      </c>
      <c r="Y80" s="455" t="str">
        <f t="shared" si="7"/>
        <v>Đ</v>
      </c>
      <c r="Z80" s="458">
        <f t="shared" si="8"/>
        <v>73</v>
      </c>
      <c r="AA80" s="458">
        <v>112</v>
      </c>
      <c r="AB80" s="501">
        <f t="shared" si="9"/>
        <v>-34.82142857142857</v>
      </c>
      <c r="AC80" s="463">
        <f t="shared" si="10"/>
        <v>-39</v>
      </c>
    </row>
    <row r="81" spans="1:25" s="399" customFormat="1" ht="29.25" customHeight="1">
      <c r="A81" s="827"/>
      <c r="B81" s="827"/>
      <c r="C81" s="827"/>
      <c r="D81" s="827"/>
      <c r="E81" s="827"/>
      <c r="F81" s="424"/>
      <c r="G81" s="390"/>
      <c r="H81" s="424"/>
      <c r="I81" s="390"/>
      <c r="J81" s="390"/>
      <c r="K81" s="390"/>
      <c r="L81" s="390"/>
      <c r="M81" s="390"/>
      <c r="N81" s="825" t="str">
        <f>'Thong tin'!B8</f>
        <v>Trà Vinh, ngày 01 tháng 02 năm 2019</v>
      </c>
      <c r="O81" s="825"/>
      <c r="P81" s="825"/>
      <c r="Q81" s="825"/>
      <c r="R81" s="825"/>
      <c r="S81" s="825"/>
      <c r="T81" s="430"/>
      <c r="U81" s="430"/>
      <c r="V81" s="430"/>
      <c r="Y81" s="453"/>
    </row>
    <row r="82" spans="1:25" s="396" customFormat="1" ht="19.5" customHeight="1">
      <c r="A82" s="398"/>
      <c r="B82" s="826" t="s">
        <v>4</v>
      </c>
      <c r="C82" s="826"/>
      <c r="D82" s="826"/>
      <c r="E82" s="826"/>
      <c r="F82" s="397"/>
      <c r="G82" s="397"/>
      <c r="H82" s="397"/>
      <c r="I82" s="397"/>
      <c r="J82" s="397"/>
      <c r="K82" s="397"/>
      <c r="L82" s="397"/>
      <c r="M82" s="397"/>
      <c r="N82" s="823" t="str">
        <f>'Thong tin'!B7</f>
        <v>PHÓ CỤC TRƯỞNG PHỤ TRÁCH</v>
      </c>
      <c r="O82" s="823"/>
      <c r="P82" s="823"/>
      <c r="Q82" s="823"/>
      <c r="R82" s="823"/>
      <c r="S82" s="823"/>
      <c r="T82" s="429"/>
      <c r="U82" s="429"/>
      <c r="V82" s="429"/>
      <c r="Y82" s="453"/>
    </row>
    <row r="83" spans="1:25" ht="18.75">
      <c r="A83" s="387"/>
      <c r="B83" s="389"/>
      <c r="C83" s="417"/>
      <c r="D83" s="417"/>
      <c r="E83" s="419"/>
      <c r="F83" s="419"/>
      <c r="G83" s="419"/>
      <c r="H83" s="419"/>
      <c r="I83" s="419"/>
      <c r="J83" s="419"/>
      <c r="K83" s="419"/>
      <c r="L83" s="419"/>
      <c r="M83" s="419"/>
      <c r="N83" s="419"/>
      <c r="O83" s="419"/>
      <c r="P83" s="419"/>
      <c r="Q83" s="419"/>
      <c r="R83" s="418"/>
      <c r="S83" s="418"/>
      <c r="T83" s="418"/>
      <c r="U83" s="418"/>
      <c r="V83" s="418"/>
      <c r="Y83" s="453"/>
    </row>
    <row r="84" spans="1:25" ht="18.75">
      <c r="A84" s="387"/>
      <c r="B84" s="387"/>
      <c r="C84" s="420"/>
      <c r="D84" s="420"/>
      <c r="E84" s="420"/>
      <c r="F84" s="420"/>
      <c r="G84" s="420"/>
      <c r="H84" s="420"/>
      <c r="I84" s="420"/>
      <c r="J84" s="420"/>
      <c r="K84" s="420"/>
      <c r="L84" s="420"/>
      <c r="M84" s="420"/>
      <c r="N84" s="420"/>
      <c r="O84" s="420"/>
      <c r="P84" s="420"/>
      <c r="Q84" s="420"/>
      <c r="R84" s="387"/>
      <c r="S84" s="387"/>
      <c r="T84" s="387"/>
      <c r="U84" s="387"/>
      <c r="V84" s="447"/>
      <c r="W84" s="455"/>
      <c r="Y84" s="453"/>
    </row>
    <row r="85" spans="1:22" ht="18.75">
      <c r="A85" s="387"/>
      <c r="B85" s="388"/>
      <c r="C85" s="388"/>
      <c r="D85" s="388"/>
      <c r="E85" s="388"/>
      <c r="F85" s="388"/>
      <c r="G85" s="388"/>
      <c r="H85" s="388"/>
      <c r="I85" s="388"/>
      <c r="J85" s="388"/>
      <c r="K85" s="388"/>
      <c r="L85" s="388"/>
      <c r="M85" s="388"/>
      <c r="N85" s="388"/>
      <c r="O85" s="388"/>
      <c r="P85" s="388"/>
      <c r="Q85" s="388"/>
      <c r="R85" s="388"/>
      <c r="S85" s="387"/>
      <c r="T85" s="387"/>
      <c r="U85" s="387"/>
      <c r="V85" s="387"/>
    </row>
    <row r="86" spans="1:22" ht="15.75" customHeight="1">
      <c r="A86" s="395"/>
      <c r="B86" s="387"/>
      <c r="C86" s="387"/>
      <c r="D86" s="388"/>
      <c r="E86" s="388"/>
      <c r="F86" s="388"/>
      <c r="G86" s="388"/>
      <c r="H86" s="388"/>
      <c r="I86" s="388"/>
      <c r="J86" s="388"/>
      <c r="K86" s="388"/>
      <c r="L86" s="388"/>
      <c r="M86" s="388"/>
      <c r="N86" s="388"/>
      <c r="O86" s="388"/>
      <c r="P86" s="388"/>
      <c r="Q86" s="388"/>
      <c r="R86" s="387"/>
      <c r="S86" s="387"/>
      <c r="T86" s="387"/>
      <c r="U86" s="387"/>
      <c r="V86" s="387"/>
    </row>
    <row r="87" spans="1:22" ht="15.75" customHeight="1">
      <c r="A87" s="387"/>
      <c r="B87" s="388"/>
      <c r="C87" s="388"/>
      <c r="D87" s="388"/>
      <c r="E87" s="388"/>
      <c r="F87" s="388"/>
      <c r="G87" s="388"/>
      <c r="H87" s="388"/>
      <c r="I87" s="388"/>
      <c r="J87" s="388"/>
      <c r="K87" s="388"/>
      <c r="L87" s="388"/>
      <c r="M87" s="388"/>
      <c r="N87" s="388"/>
      <c r="O87" s="388"/>
      <c r="P87" s="388"/>
      <c r="Q87" s="388"/>
      <c r="R87" s="387"/>
      <c r="S87" s="387"/>
      <c r="T87" s="387"/>
      <c r="U87" s="387"/>
      <c r="V87" s="387"/>
    </row>
    <row r="88" spans="1:22" ht="18.75">
      <c r="A88" s="389"/>
      <c r="B88" s="389"/>
      <c r="C88" s="389"/>
      <c r="D88" s="389"/>
      <c r="E88" s="389"/>
      <c r="F88" s="389"/>
      <c r="G88" s="389"/>
      <c r="H88" s="389"/>
      <c r="I88" s="389"/>
      <c r="J88" s="389"/>
      <c r="K88" s="389"/>
      <c r="L88" s="389"/>
      <c r="M88" s="389"/>
      <c r="N88" s="389"/>
      <c r="O88" s="389"/>
      <c r="P88" s="389"/>
      <c r="Q88" s="387"/>
      <c r="R88" s="387"/>
      <c r="S88" s="387"/>
      <c r="T88" s="387"/>
      <c r="U88" s="387"/>
      <c r="V88" s="387"/>
    </row>
    <row r="89" spans="1:22" ht="18.75">
      <c r="A89" s="387"/>
      <c r="B89" s="387"/>
      <c r="C89" s="387"/>
      <c r="D89" s="387"/>
      <c r="E89" s="387"/>
      <c r="F89" s="387"/>
      <c r="G89" s="387"/>
      <c r="H89" s="387"/>
      <c r="I89" s="387"/>
      <c r="J89" s="387"/>
      <c r="K89" s="387"/>
      <c r="L89" s="387"/>
      <c r="M89" s="387"/>
      <c r="N89" s="387"/>
      <c r="O89" s="387"/>
      <c r="P89" s="387"/>
      <c r="Q89" s="387"/>
      <c r="R89" s="387"/>
      <c r="S89" s="387"/>
      <c r="T89" s="387"/>
      <c r="U89" s="387"/>
      <c r="V89" s="387"/>
    </row>
    <row r="90" spans="1:22" ht="18.75">
      <c r="A90" s="387"/>
      <c r="B90" s="822" t="str">
        <f>'Thong tin'!B5</f>
        <v>Nhan Quốc Hải</v>
      </c>
      <c r="C90" s="822"/>
      <c r="D90" s="822"/>
      <c r="E90" s="822"/>
      <c r="F90" s="387"/>
      <c r="G90" s="387"/>
      <c r="H90" s="387"/>
      <c r="I90" s="387"/>
      <c r="J90" s="387"/>
      <c r="K90" s="387"/>
      <c r="L90" s="387"/>
      <c r="M90" s="387"/>
      <c r="N90" s="822" t="str">
        <f>'Thong tin'!B6</f>
        <v>Trần Việt Hồng</v>
      </c>
      <c r="O90" s="822"/>
      <c r="P90" s="822"/>
      <c r="Q90" s="822"/>
      <c r="R90" s="822"/>
      <c r="S90" s="822"/>
      <c r="T90" s="428"/>
      <c r="U90" s="428"/>
      <c r="V90" s="428"/>
    </row>
    <row r="91" spans="1:22" ht="18.75">
      <c r="A91" s="394"/>
      <c r="B91" s="394"/>
      <c r="C91" s="394"/>
      <c r="D91" s="394"/>
      <c r="E91" s="394"/>
      <c r="F91" s="394"/>
      <c r="G91" s="394"/>
      <c r="H91" s="394"/>
      <c r="I91" s="394"/>
      <c r="J91" s="394"/>
      <c r="K91" s="394"/>
      <c r="L91" s="394"/>
      <c r="M91" s="394"/>
      <c r="N91" s="394"/>
      <c r="O91" s="394"/>
      <c r="P91" s="394"/>
      <c r="Q91" s="394"/>
      <c r="R91" s="394"/>
      <c r="S91" s="394"/>
      <c r="T91" s="394"/>
      <c r="U91" s="394"/>
      <c r="V91" s="394"/>
    </row>
  </sheetData>
  <sheetProtection/>
  <mergeCells count="33">
    <mergeCell ref="E1:O1"/>
    <mergeCell ref="E2:O2"/>
    <mergeCell ref="E3:O3"/>
    <mergeCell ref="F6:F9"/>
    <mergeCell ref="G6:G9"/>
    <mergeCell ref="A10:B10"/>
    <mergeCell ref="H7:H9"/>
    <mergeCell ref="A3:D3"/>
    <mergeCell ref="A2:D2"/>
    <mergeCell ref="P4:S4"/>
    <mergeCell ref="I7:P7"/>
    <mergeCell ref="S6:S9"/>
    <mergeCell ref="A6:B9"/>
    <mergeCell ref="E8:E9"/>
    <mergeCell ref="Q7:Q9"/>
    <mergeCell ref="D7:E7"/>
    <mergeCell ref="C7:C9"/>
    <mergeCell ref="N81:S81"/>
    <mergeCell ref="J8:P8"/>
    <mergeCell ref="B82:E82"/>
    <mergeCell ref="A81:E81"/>
    <mergeCell ref="R6:R9"/>
    <mergeCell ref="I8:I9"/>
    <mergeCell ref="T7:T9"/>
    <mergeCell ref="U7:U9"/>
    <mergeCell ref="P2:S2"/>
    <mergeCell ref="H6:Q6"/>
    <mergeCell ref="B90:E90"/>
    <mergeCell ref="N82:S82"/>
    <mergeCell ref="N90:S90"/>
    <mergeCell ref="D8:D9"/>
    <mergeCell ref="A11:B11"/>
    <mergeCell ref="C6:E6"/>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L90"/>
  <sheetViews>
    <sheetView showZeros="0" view="pageBreakPreview" zoomScaleNormal="85" zoomScaleSheetLayoutView="100" zoomScalePageLayoutView="0" workbookViewId="0" topLeftCell="A7">
      <pane xSplit="3" ySplit="5" topLeftCell="J75" activePane="bottomRight" state="frozen"/>
      <selection pane="topLeft" activeCell="A7" sqref="A7"/>
      <selection pane="topRight" activeCell="D7" sqref="D7"/>
      <selection pane="bottomLeft" activeCell="A12" sqref="A12"/>
      <selection pane="bottomRight" activeCell="N84" sqref="N84:N85"/>
    </sheetView>
  </sheetViews>
  <sheetFormatPr defaultColWidth="9.00390625" defaultRowHeight="15.75"/>
  <cols>
    <col min="1" max="1" width="3.50390625" style="378" customWidth="1"/>
    <col min="2" max="2" width="14.75390625" style="378" customWidth="1"/>
    <col min="3" max="3" width="9.875" style="378" customWidth="1"/>
    <col min="4" max="4" width="9.25390625" style="378" customWidth="1"/>
    <col min="5" max="5" width="8.25390625" style="378" customWidth="1"/>
    <col min="6" max="6" width="8.125" style="378" customWidth="1"/>
    <col min="7" max="7" width="6.75390625" style="378" customWidth="1"/>
    <col min="8" max="8" width="8.125" style="378" customWidth="1"/>
    <col min="9" max="9" width="9.625" style="378" customWidth="1"/>
    <col min="10" max="10" width="8.625" style="378" customWidth="1"/>
    <col min="11" max="11" width="8.00390625" style="378" customWidth="1"/>
    <col min="12" max="12" width="5.875" style="378" customWidth="1"/>
    <col min="13" max="13" width="9.00390625" style="378" customWidth="1"/>
    <col min="14" max="14" width="10.375" style="378" customWidth="1"/>
    <col min="15" max="15" width="7.625" style="378" customWidth="1"/>
    <col min="16" max="16" width="6.25390625" style="378" customWidth="1"/>
    <col min="17" max="17" width="8.25390625" style="378" customWidth="1"/>
    <col min="18" max="18" width="9.875" style="378" customWidth="1"/>
    <col min="19" max="19" width="9.00390625" style="378" customWidth="1"/>
    <col min="20" max="20" width="6.125" style="378" customWidth="1"/>
    <col min="21" max="21" width="7.25390625" style="378" customWidth="1"/>
    <col min="22" max="22" width="7.875" style="378" customWidth="1"/>
    <col min="23" max="23" width="7.00390625" style="378" customWidth="1"/>
    <col min="24" max="24" width="10.875" style="378" bestFit="1" customWidth="1"/>
    <col min="25" max="25" width="9.00390625" style="378" customWidth="1"/>
    <col min="26" max="26" width="10.25390625" style="378" customWidth="1"/>
    <col min="27" max="28" width="9.00390625" style="378" customWidth="1"/>
    <col min="29" max="29" width="9.875" style="378" bestFit="1" customWidth="1"/>
    <col min="30" max="16384" width="9.00390625" style="378" customWidth="1"/>
  </cols>
  <sheetData>
    <row r="1" spans="1:22" ht="20.25" customHeight="1">
      <c r="A1" s="412" t="s">
        <v>28</v>
      </c>
      <c r="B1" s="412"/>
      <c r="C1" s="412"/>
      <c r="E1" s="831" t="s">
        <v>66</v>
      </c>
      <c r="F1" s="831"/>
      <c r="G1" s="831"/>
      <c r="H1" s="831"/>
      <c r="I1" s="831"/>
      <c r="J1" s="831"/>
      <c r="K1" s="831"/>
      <c r="L1" s="831"/>
      <c r="M1" s="831"/>
      <c r="N1" s="831"/>
      <c r="O1" s="831"/>
      <c r="P1" s="831"/>
      <c r="Q1" s="414" t="s">
        <v>429</v>
      </c>
      <c r="R1" s="410"/>
      <c r="S1" s="410"/>
      <c r="T1" s="410"/>
      <c r="U1" s="410"/>
      <c r="V1" s="410"/>
    </row>
    <row r="2" spans="1:22" ht="17.25" customHeight="1">
      <c r="A2" s="844" t="s">
        <v>245</v>
      </c>
      <c r="B2" s="844"/>
      <c r="C2" s="844"/>
      <c r="D2" s="844"/>
      <c r="E2" s="832" t="s">
        <v>34</v>
      </c>
      <c r="F2" s="832"/>
      <c r="G2" s="832"/>
      <c r="H2" s="832"/>
      <c r="I2" s="832"/>
      <c r="J2" s="832"/>
      <c r="K2" s="832"/>
      <c r="L2" s="832"/>
      <c r="M2" s="832"/>
      <c r="N2" s="832"/>
      <c r="O2" s="832"/>
      <c r="P2" s="832"/>
      <c r="Q2" s="845" t="str">
        <f>'Thong tin'!B4</f>
        <v>CTHADS TRÀ VINH</v>
      </c>
      <c r="R2" s="845"/>
      <c r="S2" s="845"/>
      <c r="T2" s="845"/>
      <c r="U2" s="465"/>
      <c r="V2" s="465"/>
    </row>
    <row r="3" spans="1:22" ht="18" customHeight="1">
      <c r="A3" s="844" t="s">
        <v>246</v>
      </c>
      <c r="B3" s="844"/>
      <c r="C3" s="844"/>
      <c r="D3" s="844"/>
      <c r="E3" s="833" t="str">
        <f>'Thong tin'!B3</f>
        <v>04 tháng / năm 2019</v>
      </c>
      <c r="F3" s="833"/>
      <c r="G3" s="833"/>
      <c r="H3" s="833"/>
      <c r="I3" s="833"/>
      <c r="J3" s="833"/>
      <c r="K3" s="833"/>
      <c r="L3" s="833"/>
      <c r="M3" s="833"/>
      <c r="N3" s="833"/>
      <c r="O3" s="833"/>
      <c r="P3" s="833"/>
      <c r="Q3" s="414" t="s">
        <v>363</v>
      </c>
      <c r="R3" s="413"/>
      <c r="S3" s="410"/>
      <c r="T3" s="410"/>
      <c r="U3" s="410"/>
      <c r="V3" s="410"/>
    </row>
    <row r="4" spans="1:22" ht="14.25" customHeight="1">
      <c r="A4" s="382" t="s">
        <v>125</v>
      </c>
      <c r="B4" s="412"/>
      <c r="C4" s="412"/>
      <c r="D4" s="412"/>
      <c r="E4" s="412"/>
      <c r="F4" s="412"/>
      <c r="G4" s="412"/>
      <c r="H4" s="412"/>
      <c r="I4" s="412"/>
      <c r="J4" s="412"/>
      <c r="K4" s="412"/>
      <c r="L4" s="412"/>
      <c r="M4" s="412"/>
      <c r="N4" s="412"/>
      <c r="O4" s="411"/>
      <c r="P4" s="411"/>
      <c r="Q4" s="846" t="s">
        <v>305</v>
      </c>
      <c r="R4" s="846"/>
      <c r="S4" s="846"/>
      <c r="T4" s="846"/>
      <c r="U4" s="466"/>
      <c r="V4" s="466"/>
    </row>
    <row r="5" spans="2:22" ht="21.75" customHeight="1">
      <c r="B5" s="21"/>
      <c r="C5" s="21"/>
      <c r="Q5" s="842" t="s">
        <v>430</v>
      </c>
      <c r="R5" s="842"/>
      <c r="S5" s="842"/>
      <c r="T5" s="842"/>
      <c r="U5" s="464"/>
      <c r="V5" s="464"/>
    </row>
    <row r="6" spans="1:38" ht="18.75" customHeight="1">
      <c r="A6" s="838" t="s">
        <v>57</v>
      </c>
      <c r="B6" s="838"/>
      <c r="C6" s="837" t="s">
        <v>126</v>
      </c>
      <c r="D6" s="837"/>
      <c r="E6" s="837"/>
      <c r="F6" s="836" t="s">
        <v>101</v>
      </c>
      <c r="G6" s="836" t="s">
        <v>127</v>
      </c>
      <c r="H6" s="843" t="s">
        <v>102</v>
      </c>
      <c r="I6" s="843"/>
      <c r="J6" s="843"/>
      <c r="K6" s="843"/>
      <c r="L6" s="843"/>
      <c r="M6" s="843"/>
      <c r="N6" s="843"/>
      <c r="O6" s="843"/>
      <c r="P6" s="843"/>
      <c r="Q6" s="843"/>
      <c r="R6" s="843"/>
      <c r="S6" s="837" t="s">
        <v>250</v>
      </c>
      <c r="T6" s="837" t="s">
        <v>502</v>
      </c>
      <c r="U6" s="432"/>
      <c r="V6" s="470"/>
      <c r="W6" s="381"/>
      <c r="X6" s="381"/>
      <c r="Y6" s="381"/>
      <c r="Z6" s="381"/>
      <c r="AA6" s="381"/>
      <c r="AB6" s="381"/>
      <c r="AC6" s="381"/>
      <c r="AD6" s="381"/>
      <c r="AE6" s="381"/>
      <c r="AF6" s="381"/>
      <c r="AG6" s="381"/>
      <c r="AH6" s="381"/>
      <c r="AI6" s="381"/>
      <c r="AJ6" s="381"/>
      <c r="AK6" s="381"/>
      <c r="AL6" s="381"/>
    </row>
    <row r="7" spans="1:38" s="409" customFormat="1" ht="21" customHeight="1">
      <c r="A7" s="838"/>
      <c r="B7" s="838"/>
      <c r="C7" s="837" t="s">
        <v>42</v>
      </c>
      <c r="D7" s="837" t="s">
        <v>7</v>
      </c>
      <c r="E7" s="837"/>
      <c r="F7" s="836"/>
      <c r="G7" s="836"/>
      <c r="H7" s="836" t="s">
        <v>572</v>
      </c>
      <c r="I7" s="837" t="s">
        <v>103</v>
      </c>
      <c r="J7" s="837"/>
      <c r="K7" s="837"/>
      <c r="L7" s="837"/>
      <c r="M7" s="837"/>
      <c r="N7" s="837"/>
      <c r="O7" s="837"/>
      <c r="P7" s="837"/>
      <c r="Q7" s="837"/>
      <c r="R7" s="836" t="s">
        <v>128</v>
      </c>
      <c r="S7" s="837"/>
      <c r="T7" s="837"/>
      <c r="U7" s="837" t="s">
        <v>509</v>
      </c>
      <c r="V7" s="470"/>
      <c r="W7" s="410"/>
      <c r="X7" s="410"/>
      <c r="Y7" s="410"/>
      <c r="Z7" s="410"/>
      <c r="AA7" s="410"/>
      <c r="AB7" s="410"/>
      <c r="AC7" s="410"/>
      <c r="AD7" s="410"/>
      <c r="AE7" s="410"/>
      <c r="AF7" s="410"/>
      <c r="AG7" s="410"/>
      <c r="AH7" s="410"/>
      <c r="AI7" s="410"/>
      <c r="AJ7" s="410"/>
      <c r="AK7" s="410"/>
      <c r="AL7" s="410"/>
    </row>
    <row r="8" spans="1:38" ht="21.75" customHeight="1">
      <c r="A8" s="838"/>
      <c r="B8" s="838"/>
      <c r="C8" s="837"/>
      <c r="D8" s="837" t="s">
        <v>129</v>
      </c>
      <c r="E8" s="837" t="s">
        <v>130</v>
      </c>
      <c r="F8" s="836"/>
      <c r="G8" s="836"/>
      <c r="H8" s="836"/>
      <c r="I8" s="836" t="s">
        <v>501</v>
      </c>
      <c r="J8" s="837" t="s">
        <v>7</v>
      </c>
      <c r="K8" s="837"/>
      <c r="L8" s="837"/>
      <c r="M8" s="837"/>
      <c r="N8" s="837"/>
      <c r="O8" s="837"/>
      <c r="P8" s="837"/>
      <c r="Q8" s="837"/>
      <c r="R8" s="836"/>
      <c r="S8" s="837"/>
      <c r="T8" s="837"/>
      <c r="U8" s="837"/>
      <c r="V8" s="470"/>
      <c r="W8" s="381"/>
      <c r="X8" s="381"/>
      <c r="Y8" s="381"/>
      <c r="Z8" s="381"/>
      <c r="AA8" s="381"/>
      <c r="AB8" s="381"/>
      <c r="AC8" s="381"/>
      <c r="AD8" s="381"/>
      <c r="AE8" s="381"/>
      <c r="AF8" s="381"/>
      <c r="AG8" s="381"/>
      <c r="AH8" s="381"/>
      <c r="AI8" s="381"/>
      <c r="AJ8" s="381"/>
      <c r="AK8" s="381"/>
      <c r="AL8" s="381"/>
    </row>
    <row r="9" spans="1:38" ht="84" customHeight="1">
      <c r="A9" s="838"/>
      <c r="B9" s="838"/>
      <c r="C9" s="837"/>
      <c r="D9" s="837"/>
      <c r="E9" s="837"/>
      <c r="F9" s="836"/>
      <c r="G9" s="836"/>
      <c r="H9" s="836"/>
      <c r="I9" s="836"/>
      <c r="J9" s="432" t="s">
        <v>131</v>
      </c>
      <c r="K9" s="432" t="s">
        <v>132</v>
      </c>
      <c r="L9" s="432" t="s">
        <v>124</v>
      </c>
      <c r="M9" s="433" t="s">
        <v>105</v>
      </c>
      <c r="N9" s="433" t="s">
        <v>133</v>
      </c>
      <c r="O9" s="433" t="s">
        <v>108</v>
      </c>
      <c r="P9" s="433" t="s">
        <v>251</v>
      </c>
      <c r="Q9" s="433" t="s">
        <v>111</v>
      </c>
      <c r="R9" s="836"/>
      <c r="S9" s="837"/>
      <c r="T9" s="837"/>
      <c r="U9" s="837"/>
      <c r="V9" s="898"/>
      <c r="W9" s="381"/>
      <c r="X9" s="381"/>
      <c r="Y9" s="381"/>
      <c r="Z9" s="456" t="s">
        <v>559</v>
      </c>
      <c r="AA9" s="456" t="s">
        <v>523</v>
      </c>
      <c r="AB9" s="457" t="s">
        <v>524</v>
      </c>
      <c r="AC9" s="504" t="s">
        <v>528</v>
      </c>
      <c r="AD9" s="381"/>
      <c r="AE9" s="381"/>
      <c r="AF9" s="381"/>
      <c r="AG9" s="381"/>
      <c r="AH9" s="381"/>
      <c r="AI9" s="381"/>
      <c r="AJ9" s="381"/>
      <c r="AK9" s="381"/>
      <c r="AL9" s="381"/>
    </row>
    <row r="10" spans="1:29" ht="17.25" customHeight="1">
      <c r="A10" s="840" t="s">
        <v>6</v>
      </c>
      <c r="B10" s="841"/>
      <c r="C10" s="434">
        <v>1</v>
      </c>
      <c r="D10" s="434">
        <v>2</v>
      </c>
      <c r="E10" s="434">
        <v>3</v>
      </c>
      <c r="F10" s="434">
        <v>4</v>
      </c>
      <c r="G10" s="434">
        <v>5</v>
      </c>
      <c r="H10" s="434">
        <v>6</v>
      </c>
      <c r="I10" s="434">
        <v>7</v>
      </c>
      <c r="J10" s="434">
        <v>8</v>
      </c>
      <c r="K10" s="434">
        <v>9</v>
      </c>
      <c r="L10" s="434" t="s">
        <v>83</v>
      </c>
      <c r="M10" s="434" t="s">
        <v>84</v>
      </c>
      <c r="N10" s="434" t="s">
        <v>85</v>
      </c>
      <c r="O10" s="434" t="s">
        <v>86</v>
      </c>
      <c r="P10" s="434" t="s">
        <v>87</v>
      </c>
      <c r="Q10" s="434" t="s">
        <v>253</v>
      </c>
      <c r="R10" s="434" t="s">
        <v>508</v>
      </c>
      <c r="S10" s="434" t="s">
        <v>507</v>
      </c>
      <c r="T10" s="434" t="s">
        <v>506</v>
      </c>
      <c r="U10" s="434" t="s">
        <v>511</v>
      </c>
      <c r="V10" s="434" t="s">
        <v>512</v>
      </c>
      <c r="W10" s="434" t="s">
        <v>513</v>
      </c>
      <c r="X10" s="434" t="s">
        <v>514</v>
      </c>
      <c r="Y10" s="434" t="s">
        <v>515</v>
      </c>
      <c r="Z10" s="434" t="s">
        <v>526</v>
      </c>
      <c r="AA10" s="434" t="s">
        <v>527</v>
      </c>
      <c r="AB10" s="434" t="s">
        <v>529</v>
      </c>
      <c r="AC10" s="434" t="s">
        <v>558</v>
      </c>
    </row>
    <row r="11" spans="1:29" ht="19.5" customHeight="1">
      <c r="A11" s="881" t="s">
        <v>30</v>
      </c>
      <c r="B11" s="882"/>
      <c r="C11" s="853">
        <f aca="true" t="shared" si="0" ref="C11:S11">+C12+C22</f>
        <v>835860851</v>
      </c>
      <c r="D11" s="853">
        <f t="shared" si="0"/>
        <v>636078611</v>
      </c>
      <c r="E11" s="853">
        <f t="shared" si="0"/>
        <v>199782240</v>
      </c>
      <c r="F11" s="853">
        <f t="shared" si="0"/>
        <v>3235745</v>
      </c>
      <c r="G11" s="853">
        <f t="shared" si="0"/>
        <v>0</v>
      </c>
      <c r="H11" s="853">
        <f t="shared" si="0"/>
        <v>832625106</v>
      </c>
      <c r="I11" s="853">
        <f t="shared" si="0"/>
        <v>563198155</v>
      </c>
      <c r="J11" s="853">
        <f t="shared" si="0"/>
        <v>51898851</v>
      </c>
      <c r="K11" s="853">
        <f t="shared" si="0"/>
        <v>11931028</v>
      </c>
      <c r="L11" s="853">
        <f t="shared" si="0"/>
        <v>0</v>
      </c>
      <c r="M11" s="853">
        <f t="shared" si="0"/>
        <v>475721149</v>
      </c>
      <c r="N11" s="853">
        <f t="shared" si="0"/>
        <v>15616449</v>
      </c>
      <c r="O11" s="853">
        <f t="shared" si="0"/>
        <v>7370568</v>
      </c>
      <c r="P11" s="853">
        <f t="shared" si="0"/>
        <v>0</v>
      </c>
      <c r="Q11" s="853">
        <f t="shared" si="0"/>
        <v>660110</v>
      </c>
      <c r="R11" s="853">
        <f t="shared" si="0"/>
        <v>269426951</v>
      </c>
      <c r="S11" s="853">
        <f t="shared" si="0"/>
        <v>768795227</v>
      </c>
      <c r="T11" s="869">
        <f aca="true" t="shared" si="1" ref="T11:T43">(((J11+K11+L11))/I11)*100</f>
        <v>11.333467347740157</v>
      </c>
      <c r="U11" s="850">
        <f>I11/H11</f>
        <v>0.6764126507134173</v>
      </c>
      <c r="V11" s="469">
        <f>+V12+V22</f>
        <v>0</v>
      </c>
      <c r="W11" s="502">
        <f aca="true" t="shared" si="2" ref="W11:W24">+C11-(F11+G11+H11)</f>
        <v>0</v>
      </c>
      <c r="X11" s="425">
        <f aca="true" t="shared" si="3" ref="X11:X44">+M11+N11+O11+P11+Q11+R11</f>
        <v>768795227</v>
      </c>
      <c r="Y11" s="503" t="str">
        <f aca="true" t="shared" si="4" ref="Y11:Y44">+IF(X11=S11,"Đ","S")</f>
        <v>Đ</v>
      </c>
      <c r="Z11" s="460">
        <f aca="true" t="shared" si="5" ref="Z11:Z44">+M11+N11+O11+P11+Q11</f>
        <v>499368276</v>
      </c>
      <c r="AA11" s="460" t="e">
        <f>+AA12+AA22</f>
        <v>#REF!</v>
      </c>
      <c r="AB11" s="462" t="e">
        <f>(((Z11)-AA11)/AA11)*100</f>
        <v>#REF!</v>
      </c>
      <c r="AC11" s="461" t="e">
        <f>+Z11-AA11</f>
        <v>#REF!</v>
      </c>
    </row>
    <row r="12" spans="1:29" ht="19.5" customHeight="1">
      <c r="A12" s="851" t="s">
        <v>0</v>
      </c>
      <c r="B12" s="852" t="s">
        <v>500</v>
      </c>
      <c r="C12" s="853">
        <f aca="true" t="shared" si="6" ref="C12:K12">SUM(C13:C21)</f>
        <v>136329507</v>
      </c>
      <c r="D12" s="853">
        <f t="shared" si="6"/>
        <v>84755030</v>
      </c>
      <c r="E12" s="853">
        <f t="shared" si="6"/>
        <v>51574477</v>
      </c>
      <c r="F12" s="853">
        <f t="shared" si="6"/>
        <v>0</v>
      </c>
      <c r="G12" s="853">
        <f t="shared" si="6"/>
        <v>0</v>
      </c>
      <c r="H12" s="853">
        <f t="shared" si="6"/>
        <v>136329507</v>
      </c>
      <c r="I12" s="853">
        <f t="shared" si="6"/>
        <v>94430987</v>
      </c>
      <c r="J12" s="853">
        <f t="shared" si="6"/>
        <v>13299612</v>
      </c>
      <c r="K12" s="853">
        <f t="shared" si="6"/>
        <v>8035</v>
      </c>
      <c r="L12" s="853"/>
      <c r="M12" s="853">
        <f aca="true" t="shared" si="7" ref="M12:S12">SUM(M13:M21)</f>
        <v>80277869</v>
      </c>
      <c r="N12" s="853">
        <f t="shared" si="7"/>
        <v>633931</v>
      </c>
      <c r="O12" s="853">
        <f t="shared" si="7"/>
        <v>23750</v>
      </c>
      <c r="P12" s="853">
        <f t="shared" si="7"/>
        <v>0</v>
      </c>
      <c r="Q12" s="853">
        <f t="shared" si="7"/>
        <v>187790</v>
      </c>
      <c r="R12" s="853">
        <f t="shared" si="7"/>
        <v>41898520</v>
      </c>
      <c r="S12" s="853">
        <f t="shared" si="7"/>
        <v>123021860</v>
      </c>
      <c r="T12" s="869">
        <f t="shared" si="1"/>
        <v>14.092457807308525</v>
      </c>
      <c r="U12" s="850">
        <f aca="true" t="shared" si="8" ref="U12:U80">I12/H12</f>
        <v>0.6926672668155398</v>
      </c>
      <c r="V12" s="469">
        <f>SUM(V13:V21)</f>
        <v>0</v>
      </c>
      <c r="W12" s="502">
        <f t="shared" si="2"/>
        <v>0</v>
      </c>
      <c r="X12" s="425">
        <f t="shared" si="3"/>
        <v>123021860</v>
      </c>
      <c r="Y12" s="503" t="str">
        <f t="shared" si="4"/>
        <v>Đ</v>
      </c>
      <c r="Z12" s="460">
        <f t="shared" si="5"/>
        <v>81123340</v>
      </c>
      <c r="AA12" s="460">
        <v>40855594</v>
      </c>
      <c r="AB12" s="462">
        <f aca="true" t="shared" si="9" ref="AB12:AB80">(((Z12)-AA12)/AA12)*100</f>
        <v>98.56115664356759</v>
      </c>
      <c r="AC12" s="461">
        <f aca="true" t="shared" si="10" ref="AC12:AC80">+Z12-AA12</f>
        <v>40267746</v>
      </c>
    </row>
    <row r="13" spans="1:29" ht="19.5" customHeight="1">
      <c r="A13" s="851" t="s">
        <v>43</v>
      </c>
      <c r="B13" s="852" t="s">
        <v>435</v>
      </c>
      <c r="C13" s="853">
        <f aca="true" t="shared" si="11" ref="C13:C21">+D13+E13</f>
        <v>0</v>
      </c>
      <c r="D13" s="853"/>
      <c r="E13" s="853"/>
      <c r="F13" s="853"/>
      <c r="G13" s="853"/>
      <c r="H13" s="853">
        <f aca="true" t="shared" si="12" ref="H13:H21">SUM(I13,R13)</f>
        <v>0</v>
      </c>
      <c r="I13" s="853">
        <f aca="true" t="shared" si="13" ref="I13:I21">SUM(J13:Q13)</f>
        <v>0</v>
      </c>
      <c r="J13" s="853" t="s">
        <v>564</v>
      </c>
      <c r="K13" s="853"/>
      <c r="L13" s="853"/>
      <c r="M13" s="853"/>
      <c r="N13" s="853"/>
      <c r="O13" s="853"/>
      <c r="P13" s="853"/>
      <c r="Q13" s="853"/>
      <c r="R13" s="853"/>
      <c r="S13" s="883">
        <f aca="true" t="shared" si="14" ref="S13:S21">SUM(M13:R13)</f>
        <v>0</v>
      </c>
      <c r="T13" s="869" t="e">
        <f t="shared" si="1"/>
        <v>#VALUE!</v>
      </c>
      <c r="U13" s="850" t="e">
        <f t="shared" si="8"/>
        <v>#DIV/0!</v>
      </c>
      <c r="V13" s="435"/>
      <c r="W13" s="502">
        <f t="shared" si="2"/>
        <v>0</v>
      </c>
      <c r="X13" s="425">
        <f t="shared" si="3"/>
        <v>0</v>
      </c>
      <c r="Y13" s="503" t="str">
        <f t="shared" si="4"/>
        <v>Đ</v>
      </c>
      <c r="Z13" s="461">
        <f t="shared" si="5"/>
        <v>0</v>
      </c>
      <c r="AA13" s="460"/>
      <c r="AB13" s="462" t="e">
        <f t="shared" si="9"/>
        <v>#DIV/0!</v>
      </c>
      <c r="AC13" s="461">
        <f t="shared" si="10"/>
        <v>0</v>
      </c>
    </row>
    <row r="14" spans="1:29" ht="19.5" customHeight="1">
      <c r="A14" s="851" t="s">
        <v>44</v>
      </c>
      <c r="B14" s="852" t="s">
        <v>499</v>
      </c>
      <c r="C14" s="853">
        <f t="shared" si="11"/>
        <v>0</v>
      </c>
      <c r="D14" s="853"/>
      <c r="E14" s="853"/>
      <c r="F14" s="853"/>
      <c r="G14" s="853"/>
      <c r="H14" s="853">
        <f t="shared" si="12"/>
        <v>0</v>
      </c>
      <c r="I14" s="853">
        <f t="shared" si="13"/>
        <v>0</v>
      </c>
      <c r="J14" s="853"/>
      <c r="K14" s="853"/>
      <c r="L14" s="853"/>
      <c r="M14" s="853"/>
      <c r="N14" s="853"/>
      <c r="O14" s="853"/>
      <c r="P14" s="853"/>
      <c r="Q14" s="853"/>
      <c r="R14" s="853"/>
      <c r="S14" s="883">
        <f t="shared" si="14"/>
        <v>0</v>
      </c>
      <c r="T14" s="869" t="e">
        <f t="shared" si="1"/>
        <v>#DIV/0!</v>
      </c>
      <c r="U14" s="850" t="e">
        <f t="shared" si="8"/>
        <v>#DIV/0!</v>
      </c>
      <c r="V14" s="435"/>
      <c r="W14" s="502">
        <f t="shared" si="2"/>
        <v>0</v>
      </c>
      <c r="X14" s="425">
        <f t="shared" si="3"/>
        <v>0</v>
      </c>
      <c r="Y14" s="503" t="str">
        <f t="shared" si="4"/>
        <v>Đ</v>
      </c>
      <c r="Z14" s="461">
        <f t="shared" si="5"/>
        <v>0</v>
      </c>
      <c r="AA14" s="460"/>
      <c r="AB14" s="462" t="e">
        <f t="shared" si="9"/>
        <v>#DIV/0!</v>
      </c>
      <c r="AC14" s="461">
        <f t="shared" si="10"/>
        <v>0</v>
      </c>
    </row>
    <row r="15" spans="1:29" ht="19.5" customHeight="1">
      <c r="A15" s="851" t="s">
        <v>49</v>
      </c>
      <c r="B15" s="852" t="s">
        <v>498</v>
      </c>
      <c r="C15" s="853">
        <f t="shared" si="11"/>
        <v>52359962</v>
      </c>
      <c r="D15" s="853">
        <v>6373194</v>
      </c>
      <c r="E15" s="853">
        <v>45986768</v>
      </c>
      <c r="F15" s="853"/>
      <c r="G15" s="853"/>
      <c r="H15" s="853">
        <f t="shared" si="12"/>
        <v>52359962</v>
      </c>
      <c r="I15" s="853">
        <f t="shared" si="13"/>
        <v>51325153</v>
      </c>
      <c r="J15" s="853">
        <v>8206384</v>
      </c>
      <c r="K15" s="853"/>
      <c r="L15" s="853"/>
      <c r="M15" s="853">
        <v>42630596</v>
      </c>
      <c r="N15" s="853">
        <v>406560</v>
      </c>
      <c r="O15" s="853">
        <v>23750</v>
      </c>
      <c r="P15" s="853"/>
      <c r="Q15" s="853">
        <v>57863</v>
      </c>
      <c r="R15" s="853">
        <v>1034809</v>
      </c>
      <c r="S15" s="883">
        <f t="shared" si="14"/>
        <v>44153578</v>
      </c>
      <c r="T15" s="869">
        <f t="shared" si="1"/>
        <v>15.989010300660963</v>
      </c>
      <c r="U15" s="850">
        <f t="shared" si="8"/>
        <v>0.9802366357714316</v>
      </c>
      <c r="V15" s="435"/>
      <c r="W15" s="502">
        <f t="shared" si="2"/>
        <v>0</v>
      </c>
      <c r="X15" s="425">
        <f t="shared" si="3"/>
        <v>44153578</v>
      </c>
      <c r="Y15" s="503" t="str">
        <f t="shared" si="4"/>
        <v>Đ</v>
      </c>
      <c r="Z15" s="461">
        <f t="shared" si="5"/>
        <v>43118769</v>
      </c>
      <c r="AA15" s="461">
        <v>650489</v>
      </c>
      <c r="AB15" s="462">
        <f t="shared" si="9"/>
        <v>6528.669969822702</v>
      </c>
      <c r="AC15" s="461">
        <f t="shared" si="10"/>
        <v>42468280</v>
      </c>
    </row>
    <row r="16" spans="1:29" ht="19.5" customHeight="1">
      <c r="A16" s="851" t="s">
        <v>58</v>
      </c>
      <c r="B16" s="852" t="s">
        <v>497</v>
      </c>
      <c r="C16" s="853">
        <f t="shared" si="11"/>
        <v>31605499</v>
      </c>
      <c r="D16" s="853">
        <v>31605499</v>
      </c>
      <c r="E16" s="853"/>
      <c r="F16" s="853"/>
      <c r="G16" s="853"/>
      <c r="H16" s="853">
        <f t="shared" si="12"/>
        <v>31605499</v>
      </c>
      <c r="I16" s="853">
        <f t="shared" si="13"/>
        <v>13712138</v>
      </c>
      <c r="J16" s="853">
        <v>50002</v>
      </c>
      <c r="K16" s="853"/>
      <c r="L16" s="853"/>
      <c r="M16" s="853">
        <v>13662136</v>
      </c>
      <c r="N16" s="853"/>
      <c r="O16" s="853"/>
      <c r="P16" s="853"/>
      <c r="Q16" s="853"/>
      <c r="R16" s="853">
        <v>17893361</v>
      </c>
      <c r="S16" s="883">
        <f t="shared" si="14"/>
        <v>31555497</v>
      </c>
      <c r="T16" s="869">
        <f t="shared" si="1"/>
        <v>0.3646550231626899</v>
      </c>
      <c r="U16" s="850">
        <f t="shared" si="8"/>
        <v>0.43385291907588613</v>
      </c>
      <c r="V16" s="435"/>
      <c r="W16" s="502">
        <f t="shared" si="2"/>
        <v>0</v>
      </c>
      <c r="X16" s="425">
        <f t="shared" si="3"/>
        <v>31555497</v>
      </c>
      <c r="Y16" s="503" t="str">
        <f t="shared" si="4"/>
        <v>Đ</v>
      </c>
      <c r="Z16" s="461">
        <f t="shared" si="5"/>
        <v>13662136</v>
      </c>
      <c r="AA16" s="461">
        <v>11433247</v>
      </c>
      <c r="AB16" s="462">
        <f t="shared" si="9"/>
        <v>19.49480318233307</v>
      </c>
      <c r="AC16" s="461">
        <f t="shared" si="10"/>
        <v>2228889</v>
      </c>
    </row>
    <row r="17" spans="1:29" ht="19.5" customHeight="1">
      <c r="A17" s="851" t="s">
        <v>59</v>
      </c>
      <c r="B17" s="854" t="s">
        <v>496</v>
      </c>
      <c r="C17" s="853">
        <f t="shared" si="11"/>
        <v>17113995</v>
      </c>
      <c r="D17" s="853">
        <v>14213016</v>
      </c>
      <c r="E17" s="853">
        <v>2900979</v>
      </c>
      <c r="F17" s="853"/>
      <c r="G17" s="853"/>
      <c r="H17" s="853">
        <f t="shared" si="12"/>
        <v>17113995</v>
      </c>
      <c r="I17" s="853">
        <f t="shared" si="13"/>
        <v>8121913</v>
      </c>
      <c r="J17" s="853">
        <v>4260107</v>
      </c>
      <c r="K17" s="853"/>
      <c r="L17" s="853"/>
      <c r="M17" s="853">
        <v>3764146</v>
      </c>
      <c r="N17" s="853"/>
      <c r="O17" s="853"/>
      <c r="P17" s="853"/>
      <c r="Q17" s="853">
        <v>97660</v>
      </c>
      <c r="R17" s="853">
        <v>8992082</v>
      </c>
      <c r="S17" s="883">
        <f t="shared" si="14"/>
        <v>12853888</v>
      </c>
      <c r="T17" s="869">
        <f t="shared" si="1"/>
        <v>52.45201469161268</v>
      </c>
      <c r="U17" s="850">
        <f t="shared" si="8"/>
        <v>0.4745772684869897</v>
      </c>
      <c r="V17" s="435"/>
      <c r="W17" s="502">
        <f t="shared" si="2"/>
        <v>0</v>
      </c>
      <c r="X17" s="425">
        <f t="shared" si="3"/>
        <v>12853888</v>
      </c>
      <c r="Y17" s="503" t="str">
        <f t="shared" si="4"/>
        <v>Đ</v>
      </c>
      <c r="Z17" s="461">
        <f t="shared" si="5"/>
        <v>3861806</v>
      </c>
      <c r="AA17" s="461">
        <v>8026808</v>
      </c>
      <c r="AB17" s="462">
        <f t="shared" si="9"/>
        <v>-51.8886461467622</v>
      </c>
      <c r="AC17" s="461">
        <f t="shared" si="10"/>
        <v>-4165002</v>
      </c>
    </row>
    <row r="18" spans="1:29" ht="19.5" customHeight="1">
      <c r="A18" s="851" t="s">
        <v>60</v>
      </c>
      <c r="B18" s="852" t="s">
        <v>495</v>
      </c>
      <c r="C18" s="853">
        <f t="shared" si="11"/>
        <v>13317527</v>
      </c>
      <c r="D18" s="853">
        <v>12975894</v>
      </c>
      <c r="E18" s="853">
        <v>341633</v>
      </c>
      <c r="F18" s="853"/>
      <c r="G18" s="853"/>
      <c r="H18" s="853">
        <f t="shared" si="12"/>
        <v>13317527</v>
      </c>
      <c r="I18" s="853">
        <f t="shared" si="13"/>
        <v>2849701</v>
      </c>
      <c r="J18" s="853">
        <v>269984</v>
      </c>
      <c r="K18" s="853"/>
      <c r="L18" s="853"/>
      <c r="M18" s="853">
        <v>2352346</v>
      </c>
      <c r="N18" s="853">
        <v>227371</v>
      </c>
      <c r="O18" s="853"/>
      <c r="P18" s="853"/>
      <c r="Q18" s="853"/>
      <c r="R18" s="853">
        <v>10467826</v>
      </c>
      <c r="S18" s="883">
        <f t="shared" si="14"/>
        <v>13047543</v>
      </c>
      <c r="T18" s="869">
        <f t="shared" si="1"/>
        <v>9.474116758214283</v>
      </c>
      <c r="U18" s="850">
        <f t="shared" si="8"/>
        <v>0.21398124441572372</v>
      </c>
      <c r="V18" s="435"/>
      <c r="W18" s="502">
        <f t="shared" si="2"/>
        <v>0</v>
      </c>
      <c r="X18" s="425">
        <f t="shared" si="3"/>
        <v>13047543</v>
      </c>
      <c r="Y18" s="503" t="str">
        <f t="shared" si="4"/>
        <v>Đ</v>
      </c>
      <c r="Z18" s="461">
        <f t="shared" si="5"/>
        <v>2579717</v>
      </c>
      <c r="AA18" s="461">
        <v>11921593</v>
      </c>
      <c r="AB18" s="462">
        <f t="shared" si="9"/>
        <v>-78.36097071926545</v>
      </c>
      <c r="AC18" s="461">
        <f t="shared" si="10"/>
        <v>-9341876</v>
      </c>
    </row>
    <row r="19" spans="1:29" ht="19.5" customHeight="1">
      <c r="A19" s="851" t="s">
        <v>61</v>
      </c>
      <c r="B19" s="852" t="s">
        <v>494</v>
      </c>
      <c r="C19" s="853">
        <f t="shared" si="11"/>
        <v>4005765</v>
      </c>
      <c r="D19" s="853">
        <v>3387246</v>
      </c>
      <c r="E19" s="853">
        <v>618519</v>
      </c>
      <c r="F19" s="853"/>
      <c r="G19" s="853"/>
      <c r="H19" s="853">
        <f t="shared" si="12"/>
        <v>4005765</v>
      </c>
      <c r="I19" s="853">
        <f t="shared" si="13"/>
        <v>3408702</v>
      </c>
      <c r="J19" s="853">
        <v>164307</v>
      </c>
      <c r="K19" s="853"/>
      <c r="L19" s="853"/>
      <c r="M19" s="853">
        <v>3244245</v>
      </c>
      <c r="N19" s="853"/>
      <c r="O19" s="853"/>
      <c r="P19" s="853"/>
      <c r="Q19" s="853">
        <v>150</v>
      </c>
      <c r="R19" s="853">
        <v>597063</v>
      </c>
      <c r="S19" s="883">
        <f t="shared" si="14"/>
        <v>3841458</v>
      </c>
      <c r="T19" s="869">
        <f t="shared" si="1"/>
        <v>4.820221890913316</v>
      </c>
      <c r="U19" s="850">
        <f t="shared" si="8"/>
        <v>0.8509490696533621</v>
      </c>
      <c r="V19" s="435"/>
      <c r="W19" s="502">
        <f t="shared" si="2"/>
        <v>0</v>
      </c>
      <c r="X19" s="425">
        <f t="shared" si="3"/>
        <v>3841458</v>
      </c>
      <c r="Y19" s="503" t="str">
        <f t="shared" si="4"/>
        <v>Đ</v>
      </c>
      <c r="Z19" s="461">
        <f t="shared" si="5"/>
        <v>3244395</v>
      </c>
      <c r="AA19" s="461">
        <v>3099578</v>
      </c>
      <c r="AB19" s="462">
        <f t="shared" si="9"/>
        <v>4.672152144582262</v>
      </c>
      <c r="AC19" s="461">
        <f t="shared" si="10"/>
        <v>144817</v>
      </c>
    </row>
    <row r="20" spans="1:29" ht="19.5" customHeight="1">
      <c r="A20" s="851" t="s">
        <v>62</v>
      </c>
      <c r="B20" s="852" t="s">
        <v>556</v>
      </c>
      <c r="C20" s="853">
        <f t="shared" si="11"/>
        <v>9374177</v>
      </c>
      <c r="D20" s="853">
        <v>8144684</v>
      </c>
      <c r="E20" s="853">
        <v>1229493</v>
      </c>
      <c r="F20" s="853"/>
      <c r="G20" s="853"/>
      <c r="H20" s="853">
        <f t="shared" si="12"/>
        <v>9374177</v>
      </c>
      <c r="I20" s="853">
        <f t="shared" si="13"/>
        <v>8885955</v>
      </c>
      <c r="J20" s="853">
        <v>345078</v>
      </c>
      <c r="K20" s="853">
        <v>8035</v>
      </c>
      <c r="L20" s="853"/>
      <c r="M20" s="853">
        <v>8500725</v>
      </c>
      <c r="N20" s="853"/>
      <c r="O20" s="853"/>
      <c r="P20" s="853"/>
      <c r="Q20" s="853">
        <v>32117</v>
      </c>
      <c r="R20" s="853">
        <v>488222</v>
      </c>
      <c r="S20" s="883">
        <f t="shared" si="14"/>
        <v>9021064</v>
      </c>
      <c r="T20" s="869">
        <f t="shared" si="1"/>
        <v>3.973832863209413</v>
      </c>
      <c r="U20" s="850">
        <f t="shared" si="8"/>
        <v>0.9479184145978895</v>
      </c>
      <c r="V20" s="435"/>
      <c r="W20" s="502">
        <f t="shared" si="2"/>
        <v>0</v>
      </c>
      <c r="X20" s="425">
        <f t="shared" si="3"/>
        <v>9021064</v>
      </c>
      <c r="Y20" s="503" t="str">
        <f t="shared" si="4"/>
        <v>Đ</v>
      </c>
      <c r="Z20" s="461">
        <f t="shared" si="5"/>
        <v>8532842</v>
      </c>
      <c r="AA20" s="461">
        <v>509008</v>
      </c>
      <c r="AB20" s="462">
        <f t="shared" si="9"/>
        <v>1576.3669726212556</v>
      </c>
      <c r="AC20" s="461">
        <f t="shared" si="10"/>
        <v>8023834</v>
      </c>
    </row>
    <row r="21" spans="1:29" ht="19.5" customHeight="1">
      <c r="A21" s="851" t="s">
        <v>63</v>
      </c>
      <c r="B21" s="852" t="s">
        <v>552</v>
      </c>
      <c r="C21" s="853">
        <f t="shared" si="11"/>
        <v>8552582</v>
      </c>
      <c r="D21" s="853">
        <v>8055497</v>
      </c>
      <c r="E21" s="853">
        <v>497085</v>
      </c>
      <c r="F21" s="853"/>
      <c r="G21" s="853"/>
      <c r="H21" s="853">
        <f t="shared" si="12"/>
        <v>8552582</v>
      </c>
      <c r="I21" s="853">
        <f t="shared" si="13"/>
        <v>6127425</v>
      </c>
      <c r="J21" s="853">
        <v>3750</v>
      </c>
      <c r="K21" s="853"/>
      <c r="L21" s="853"/>
      <c r="M21" s="853">
        <v>6123675</v>
      </c>
      <c r="N21" s="853"/>
      <c r="O21" s="853"/>
      <c r="P21" s="853"/>
      <c r="Q21" s="853"/>
      <c r="R21" s="853">
        <v>2425157</v>
      </c>
      <c r="S21" s="883">
        <f t="shared" si="14"/>
        <v>8548832</v>
      </c>
      <c r="T21" s="869">
        <f t="shared" si="1"/>
        <v>0.061200259489100226</v>
      </c>
      <c r="U21" s="850">
        <f t="shared" si="8"/>
        <v>0.7164415377718681</v>
      </c>
      <c r="V21" s="435"/>
      <c r="W21" s="502">
        <f t="shared" si="2"/>
        <v>0</v>
      </c>
      <c r="X21" s="425">
        <f t="shared" si="3"/>
        <v>8548832</v>
      </c>
      <c r="Y21" s="503" t="str">
        <f t="shared" si="4"/>
        <v>Đ</v>
      </c>
      <c r="Z21" s="461">
        <f t="shared" si="5"/>
        <v>6123675</v>
      </c>
      <c r="AA21" s="461">
        <v>4229544</v>
      </c>
      <c r="AB21" s="462">
        <f t="shared" si="9"/>
        <v>44.783338345694</v>
      </c>
      <c r="AC21" s="461">
        <f t="shared" si="10"/>
        <v>1894131</v>
      </c>
    </row>
    <row r="22" spans="1:29" ht="19.5" customHeight="1">
      <c r="A22" s="851" t="s">
        <v>1</v>
      </c>
      <c r="B22" s="852" t="s">
        <v>17</v>
      </c>
      <c r="C22" s="853">
        <f aca="true" t="shared" si="15" ref="C22:S22">+C23+C32+C38+C43+C48+C54+C61+C68+C75</f>
        <v>699531344</v>
      </c>
      <c r="D22" s="853">
        <f t="shared" si="15"/>
        <v>551323581</v>
      </c>
      <c r="E22" s="853">
        <f t="shared" si="15"/>
        <v>148207763</v>
      </c>
      <c r="F22" s="853">
        <f t="shared" si="15"/>
        <v>3235745</v>
      </c>
      <c r="G22" s="853">
        <f t="shared" si="15"/>
        <v>0</v>
      </c>
      <c r="H22" s="853">
        <f t="shared" si="15"/>
        <v>696295599</v>
      </c>
      <c r="I22" s="853">
        <f t="shared" si="15"/>
        <v>468767168</v>
      </c>
      <c r="J22" s="853">
        <f t="shared" si="15"/>
        <v>38599239</v>
      </c>
      <c r="K22" s="853">
        <f t="shared" si="15"/>
        <v>11922993</v>
      </c>
      <c r="L22" s="853">
        <f t="shared" si="15"/>
        <v>0</v>
      </c>
      <c r="M22" s="853">
        <f t="shared" si="15"/>
        <v>395443280</v>
      </c>
      <c r="N22" s="853">
        <f t="shared" si="15"/>
        <v>14982518</v>
      </c>
      <c r="O22" s="853">
        <f t="shared" si="15"/>
        <v>7346818</v>
      </c>
      <c r="P22" s="853">
        <f t="shared" si="15"/>
        <v>0</v>
      </c>
      <c r="Q22" s="853">
        <f t="shared" si="15"/>
        <v>472320</v>
      </c>
      <c r="R22" s="853">
        <f t="shared" si="15"/>
        <v>227528431</v>
      </c>
      <c r="S22" s="853">
        <f t="shared" si="15"/>
        <v>645773367</v>
      </c>
      <c r="T22" s="869">
        <f t="shared" si="1"/>
        <v>10.777681426699235</v>
      </c>
      <c r="U22" s="850">
        <f t="shared" si="8"/>
        <v>0.673230117601246</v>
      </c>
      <c r="V22" s="469">
        <f>+V23+V32+V38+V43+V48+V54+V61+V68+V75</f>
        <v>0</v>
      </c>
      <c r="W22" s="502">
        <f t="shared" si="2"/>
        <v>0</v>
      </c>
      <c r="X22" s="425">
        <f t="shared" si="3"/>
        <v>645773367</v>
      </c>
      <c r="Y22" s="503" t="str">
        <f t="shared" si="4"/>
        <v>Đ</v>
      </c>
      <c r="Z22" s="460">
        <f t="shared" si="5"/>
        <v>418244936</v>
      </c>
      <c r="AA22" s="460" t="e">
        <f>+AA23+AA32+AA38+AA43+AA48+AA54+AA61+AA68+AA75</f>
        <v>#REF!</v>
      </c>
      <c r="AB22" s="462" t="e">
        <f t="shared" si="9"/>
        <v>#REF!</v>
      </c>
      <c r="AC22" s="461" t="e">
        <f t="shared" si="10"/>
        <v>#REF!</v>
      </c>
    </row>
    <row r="23" spans="1:29" ht="19.5" customHeight="1">
      <c r="A23" s="851" t="s">
        <v>43</v>
      </c>
      <c r="B23" s="852" t="s">
        <v>492</v>
      </c>
      <c r="C23" s="853">
        <f>+C24+C25+C26+C27+C28+C29+C30+C31</f>
        <v>161786141</v>
      </c>
      <c r="D23" s="853">
        <f aca="true" t="shared" si="16" ref="D23:S23">+D24+D25+D26+D27+D28+D29+D30+D31</f>
        <v>135558879</v>
      </c>
      <c r="E23" s="853">
        <f t="shared" si="16"/>
        <v>26227262</v>
      </c>
      <c r="F23" s="853">
        <f t="shared" si="16"/>
        <v>452081</v>
      </c>
      <c r="G23" s="853">
        <f t="shared" si="16"/>
        <v>0</v>
      </c>
      <c r="H23" s="853">
        <f t="shared" si="16"/>
        <v>161334060</v>
      </c>
      <c r="I23" s="853">
        <f t="shared" si="16"/>
        <v>85484004</v>
      </c>
      <c r="J23" s="853">
        <f t="shared" si="16"/>
        <v>10142267</v>
      </c>
      <c r="K23" s="853">
        <f t="shared" si="16"/>
        <v>3056014</v>
      </c>
      <c r="L23" s="853">
        <f t="shared" si="16"/>
        <v>0</v>
      </c>
      <c r="M23" s="853">
        <f t="shared" si="16"/>
        <v>57637953</v>
      </c>
      <c r="N23" s="853">
        <f t="shared" si="16"/>
        <v>14294990</v>
      </c>
      <c r="O23" s="853">
        <f t="shared" si="16"/>
        <v>0</v>
      </c>
      <c r="P23" s="853">
        <f t="shared" si="16"/>
        <v>0</v>
      </c>
      <c r="Q23" s="853">
        <f t="shared" si="16"/>
        <v>352780</v>
      </c>
      <c r="R23" s="853">
        <f t="shared" si="16"/>
        <v>75850056</v>
      </c>
      <c r="S23" s="853">
        <f t="shared" si="16"/>
        <v>148135779</v>
      </c>
      <c r="T23" s="869">
        <f t="shared" si="1"/>
        <v>15.439474500983833</v>
      </c>
      <c r="U23" s="850">
        <f t="shared" si="8"/>
        <v>0.5298571423789868</v>
      </c>
      <c r="V23" s="469">
        <f>+V24+V25+V26+V27+V28+V29+V30+V31</f>
        <v>0</v>
      </c>
      <c r="W23" s="502">
        <f t="shared" si="2"/>
        <v>0</v>
      </c>
      <c r="X23" s="425">
        <f t="shared" si="3"/>
        <v>148135779</v>
      </c>
      <c r="Y23" s="503" t="str">
        <f t="shared" si="4"/>
        <v>Đ</v>
      </c>
      <c r="Z23" s="460">
        <f t="shared" si="5"/>
        <v>72285723</v>
      </c>
      <c r="AA23" s="460">
        <f>+AA24+AA25+AA26+AA27+AA28+AA30+AA31</f>
        <v>86894941</v>
      </c>
      <c r="AB23" s="462">
        <f t="shared" si="9"/>
        <v>-16.81250695595731</v>
      </c>
      <c r="AC23" s="461">
        <f t="shared" si="10"/>
        <v>-14609218</v>
      </c>
    </row>
    <row r="24" spans="1:29" ht="19.5" customHeight="1">
      <c r="A24" s="851" t="s">
        <v>45</v>
      </c>
      <c r="B24" s="884" t="s">
        <v>517</v>
      </c>
      <c r="C24" s="853">
        <f>+D24+E24</f>
        <v>5172711</v>
      </c>
      <c r="D24" s="855">
        <f>4582215</f>
        <v>4582215</v>
      </c>
      <c r="E24" s="855">
        <v>590496</v>
      </c>
      <c r="F24" s="855"/>
      <c r="G24" s="855"/>
      <c r="H24" s="853">
        <f>+I24+R24</f>
        <v>5172711</v>
      </c>
      <c r="I24" s="853">
        <f>+J24+K24+L24+M24+N24+O24+P24+Q24</f>
        <v>1356238</v>
      </c>
      <c r="J24" s="855">
        <v>168999</v>
      </c>
      <c r="K24" s="855"/>
      <c r="L24" s="885"/>
      <c r="M24" s="855">
        <v>1187239</v>
      </c>
      <c r="N24" s="885"/>
      <c r="O24" s="855"/>
      <c r="P24" s="885"/>
      <c r="Q24" s="885"/>
      <c r="R24" s="855">
        <v>3816473</v>
      </c>
      <c r="S24" s="883">
        <f>+R24+Q24+P24+O24+N24+M24</f>
        <v>5003712</v>
      </c>
      <c r="T24" s="869">
        <f t="shared" si="1"/>
        <v>12.460866013192375</v>
      </c>
      <c r="U24" s="850">
        <f t="shared" si="8"/>
        <v>0.26219094784147035</v>
      </c>
      <c r="V24" s="442"/>
      <c r="W24" s="502">
        <f t="shared" si="2"/>
        <v>0</v>
      </c>
      <c r="X24" s="425">
        <f t="shared" si="3"/>
        <v>5003712</v>
      </c>
      <c r="Y24" s="503" t="str">
        <f t="shared" si="4"/>
        <v>Đ</v>
      </c>
      <c r="Z24" s="461">
        <f t="shared" si="5"/>
        <v>1187239</v>
      </c>
      <c r="AA24" s="461">
        <v>202438</v>
      </c>
      <c r="AB24" s="462">
        <f t="shared" si="9"/>
        <v>486.4704255129966</v>
      </c>
      <c r="AC24" s="461">
        <f t="shared" si="10"/>
        <v>984801</v>
      </c>
    </row>
    <row r="25" spans="1:29" ht="19.5" customHeight="1">
      <c r="A25" s="851" t="s">
        <v>46</v>
      </c>
      <c r="B25" s="886" t="s">
        <v>542</v>
      </c>
      <c r="C25" s="853">
        <f aca="true" t="shared" si="17" ref="C25:C31">+D25+E25</f>
        <v>28483771</v>
      </c>
      <c r="D25" s="855">
        <v>28322386</v>
      </c>
      <c r="E25" s="855">
        <v>161385</v>
      </c>
      <c r="F25" s="855"/>
      <c r="G25" s="855"/>
      <c r="H25" s="853">
        <f aca="true" t="shared" si="18" ref="H25:H31">+I25+R25</f>
        <v>28483771</v>
      </c>
      <c r="I25" s="853">
        <f aca="true" t="shared" si="19" ref="I25:I31">+J25+K25+L25+M25+N25+O25+P25+Q25</f>
        <v>10722411</v>
      </c>
      <c r="J25" s="855">
        <v>1997518</v>
      </c>
      <c r="K25" s="855">
        <v>18834</v>
      </c>
      <c r="L25" s="885"/>
      <c r="M25" s="855">
        <v>8454531</v>
      </c>
      <c r="N25" s="855">
        <v>251528</v>
      </c>
      <c r="O25" s="855"/>
      <c r="P25" s="855"/>
      <c r="Q25" s="855"/>
      <c r="R25" s="855">
        <v>17761360</v>
      </c>
      <c r="S25" s="883">
        <f aca="true" t="shared" si="20" ref="S25:S37">+R25+Q25+P25+O25+N25+M25</f>
        <v>26467419</v>
      </c>
      <c r="T25" s="869">
        <f t="shared" si="1"/>
        <v>18.805024355063427</v>
      </c>
      <c r="U25" s="850">
        <f t="shared" si="8"/>
        <v>0.3764393064387437</v>
      </c>
      <c r="V25" s="442"/>
      <c r="W25" s="502">
        <f aca="true" t="shared" si="21" ref="W25:W80">+C25-(F25+G25+H25)</f>
        <v>0</v>
      </c>
      <c r="X25" s="425">
        <f t="shared" si="3"/>
        <v>26467419</v>
      </c>
      <c r="Y25" s="503" t="str">
        <f t="shared" si="4"/>
        <v>Đ</v>
      </c>
      <c r="Z25" s="461">
        <f t="shared" si="5"/>
        <v>8706059</v>
      </c>
      <c r="AA25" s="461">
        <v>12196816</v>
      </c>
      <c r="AB25" s="462">
        <f t="shared" si="9"/>
        <v>-28.620231706373207</v>
      </c>
      <c r="AC25" s="461">
        <f t="shared" si="10"/>
        <v>-3490757</v>
      </c>
    </row>
    <row r="26" spans="1:29" ht="19.5" customHeight="1">
      <c r="A26" s="851" t="s">
        <v>104</v>
      </c>
      <c r="B26" s="887" t="s">
        <v>543</v>
      </c>
      <c r="C26" s="853">
        <f>+D26+E26</f>
        <v>22136468</v>
      </c>
      <c r="D26" s="888">
        <v>17698430</v>
      </c>
      <c r="E26" s="855">
        <v>4438038</v>
      </c>
      <c r="F26" s="855"/>
      <c r="G26" s="855"/>
      <c r="H26" s="853">
        <f t="shared" si="18"/>
        <v>22136468</v>
      </c>
      <c r="I26" s="853">
        <f t="shared" si="19"/>
        <v>15413865</v>
      </c>
      <c r="J26" s="855">
        <v>5087955</v>
      </c>
      <c r="K26" s="855">
        <v>256677</v>
      </c>
      <c r="L26" s="885"/>
      <c r="M26" s="855">
        <v>10069232</v>
      </c>
      <c r="N26" s="855"/>
      <c r="O26" s="855"/>
      <c r="P26" s="885"/>
      <c r="Q26" s="855">
        <v>1</v>
      </c>
      <c r="R26" s="855">
        <v>6722603</v>
      </c>
      <c r="S26" s="883">
        <f t="shared" si="20"/>
        <v>16791836</v>
      </c>
      <c r="T26" s="869">
        <f t="shared" si="1"/>
        <v>34.674184573434374</v>
      </c>
      <c r="U26" s="850">
        <f t="shared" si="8"/>
        <v>0.6963109471664586</v>
      </c>
      <c r="V26" s="442"/>
      <c r="W26" s="502">
        <f t="shared" si="21"/>
        <v>0</v>
      </c>
      <c r="X26" s="425">
        <f t="shared" si="3"/>
        <v>16791836</v>
      </c>
      <c r="Y26" s="503" t="str">
        <f t="shared" si="4"/>
        <v>Đ</v>
      </c>
      <c r="Z26" s="461">
        <f t="shared" si="5"/>
        <v>10069233</v>
      </c>
      <c r="AA26" s="461">
        <v>21682762</v>
      </c>
      <c r="AB26" s="462">
        <f t="shared" si="9"/>
        <v>-53.561114584940796</v>
      </c>
      <c r="AC26" s="461">
        <f t="shared" si="10"/>
        <v>-11613529</v>
      </c>
    </row>
    <row r="27" spans="1:29" ht="19.5" customHeight="1">
      <c r="A27" s="851" t="s">
        <v>106</v>
      </c>
      <c r="B27" s="887" t="s">
        <v>489</v>
      </c>
      <c r="C27" s="853">
        <f t="shared" si="17"/>
        <v>26107745</v>
      </c>
      <c r="D27" s="888">
        <v>24445756</v>
      </c>
      <c r="E27" s="855">
        <v>1661989</v>
      </c>
      <c r="F27" s="855">
        <v>452081</v>
      </c>
      <c r="G27" s="855"/>
      <c r="H27" s="853">
        <f t="shared" si="18"/>
        <v>25655664</v>
      </c>
      <c r="I27" s="853">
        <f t="shared" si="19"/>
        <v>11488667</v>
      </c>
      <c r="J27" s="855">
        <v>1029215</v>
      </c>
      <c r="K27" s="855">
        <v>163602</v>
      </c>
      <c r="L27" s="885"/>
      <c r="M27" s="855">
        <f>9837445+1+3000</f>
        <v>9840446</v>
      </c>
      <c r="N27" s="855">
        <v>102625</v>
      </c>
      <c r="O27" s="855"/>
      <c r="P27" s="885"/>
      <c r="Q27" s="855">
        <f>355780-1-3000</f>
        <v>352779</v>
      </c>
      <c r="R27" s="855">
        <v>14166997</v>
      </c>
      <c r="S27" s="883">
        <f t="shared" si="20"/>
        <v>24462847</v>
      </c>
      <c r="T27" s="869">
        <f t="shared" si="1"/>
        <v>10.382553519916629</v>
      </c>
      <c r="U27" s="850">
        <f t="shared" si="8"/>
        <v>0.4478023644213613</v>
      </c>
      <c r="V27" s="442"/>
      <c r="W27" s="502"/>
      <c r="X27" s="425">
        <f t="shared" si="3"/>
        <v>24462847</v>
      </c>
      <c r="Y27" s="503" t="str">
        <f t="shared" si="4"/>
        <v>Đ</v>
      </c>
      <c r="Z27" s="461">
        <f t="shared" si="5"/>
        <v>10295850</v>
      </c>
      <c r="AA27" s="461">
        <v>20070651</v>
      </c>
      <c r="AB27" s="462">
        <f t="shared" si="9"/>
        <v>-48.701962881024635</v>
      </c>
      <c r="AC27" s="461">
        <f t="shared" si="10"/>
        <v>-9774801</v>
      </c>
    </row>
    <row r="28" spans="1:29" ht="19.5" customHeight="1">
      <c r="A28" s="851" t="s">
        <v>107</v>
      </c>
      <c r="B28" s="887" t="s">
        <v>488</v>
      </c>
      <c r="C28" s="853">
        <f t="shared" si="17"/>
        <v>33916375</v>
      </c>
      <c r="D28" s="888">
        <v>33232699</v>
      </c>
      <c r="E28" s="855">
        <v>683676</v>
      </c>
      <c r="F28" s="855"/>
      <c r="G28" s="855"/>
      <c r="H28" s="853">
        <f t="shared" si="18"/>
        <v>33916375</v>
      </c>
      <c r="I28" s="853">
        <f t="shared" si="19"/>
        <v>12150442</v>
      </c>
      <c r="J28" s="855">
        <v>741874</v>
      </c>
      <c r="K28" s="855"/>
      <c r="L28" s="885"/>
      <c r="M28" s="855">
        <v>11408568</v>
      </c>
      <c r="N28" s="885"/>
      <c r="O28" s="855"/>
      <c r="P28" s="885"/>
      <c r="Q28" s="855"/>
      <c r="R28" s="855">
        <v>21765933</v>
      </c>
      <c r="S28" s="883">
        <f t="shared" si="20"/>
        <v>33174501</v>
      </c>
      <c r="T28" s="869">
        <f t="shared" si="1"/>
        <v>6.105736729577409</v>
      </c>
      <c r="U28" s="850">
        <f t="shared" si="8"/>
        <v>0.3582470709207573</v>
      </c>
      <c r="V28" s="442"/>
      <c r="W28" s="502">
        <f t="shared" si="21"/>
        <v>0</v>
      </c>
      <c r="X28" s="425">
        <f t="shared" si="3"/>
        <v>33174501</v>
      </c>
      <c r="Y28" s="503" t="str">
        <f t="shared" si="4"/>
        <v>Đ</v>
      </c>
      <c r="Z28" s="461">
        <f t="shared" si="5"/>
        <v>11408568</v>
      </c>
      <c r="AA28" s="461">
        <v>15435860</v>
      </c>
      <c r="AB28" s="462">
        <f t="shared" si="9"/>
        <v>-26.090493176279132</v>
      </c>
      <c r="AC28" s="461">
        <f t="shared" si="10"/>
        <v>-4027292</v>
      </c>
    </row>
    <row r="29" spans="1:29" ht="19.5" customHeight="1">
      <c r="A29" s="851" t="s">
        <v>109</v>
      </c>
      <c r="B29" s="887" t="s">
        <v>521</v>
      </c>
      <c r="C29" s="853">
        <f t="shared" si="17"/>
        <v>31530490</v>
      </c>
      <c r="D29" s="888">
        <v>15543503</v>
      </c>
      <c r="E29" s="855">
        <v>15986987</v>
      </c>
      <c r="F29" s="855"/>
      <c r="G29" s="855"/>
      <c r="H29" s="853">
        <f t="shared" si="18"/>
        <v>31530490</v>
      </c>
      <c r="I29" s="853">
        <f t="shared" si="19"/>
        <v>23560816</v>
      </c>
      <c r="J29" s="855">
        <v>106232</v>
      </c>
      <c r="K29" s="855">
        <f>6722+2-2</f>
        <v>6722</v>
      </c>
      <c r="L29" s="885"/>
      <c r="M29" s="855">
        <v>9507025</v>
      </c>
      <c r="N29" s="855">
        <v>13940837</v>
      </c>
      <c r="O29" s="855"/>
      <c r="P29" s="885"/>
      <c r="Q29" s="855"/>
      <c r="R29" s="855">
        <v>7969674</v>
      </c>
      <c r="S29" s="883">
        <f t="shared" si="20"/>
        <v>31417536</v>
      </c>
      <c r="T29" s="869">
        <f t="shared" si="1"/>
        <v>0.4794146348751248</v>
      </c>
      <c r="U29" s="850">
        <f t="shared" si="8"/>
        <v>0.7472391326617506</v>
      </c>
      <c r="V29" s="442"/>
      <c r="W29" s="502">
        <f t="shared" si="21"/>
        <v>0</v>
      </c>
      <c r="X29" s="425">
        <f t="shared" si="3"/>
        <v>31417536</v>
      </c>
      <c r="Y29" s="503" t="str">
        <f t="shared" si="4"/>
        <v>Đ</v>
      </c>
      <c r="Z29" s="461">
        <f t="shared" si="5"/>
        <v>23447862</v>
      </c>
      <c r="AA29" s="461"/>
      <c r="AB29" s="462"/>
      <c r="AC29" s="461"/>
    </row>
    <row r="30" spans="1:29" ht="19.5" customHeight="1">
      <c r="A30" s="851" t="s">
        <v>110</v>
      </c>
      <c r="B30" s="887" t="s">
        <v>531</v>
      </c>
      <c r="C30" s="853">
        <f t="shared" si="17"/>
        <v>5318882</v>
      </c>
      <c r="D30" s="855">
        <v>4593451</v>
      </c>
      <c r="E30" s="855">
        <v>725431</v>
      </c>
      <c r="F30" s="855"/>
      <c r="G30" s="855"/>
      <c r="H30" s="853">
        <f t="shared" si="18"/>
        <v>5318882</v>
      </c>
      <c r="I30" s="853">
        <f t="shared" si="19"/>
        <v>3501764</v>
      </c>
      <c r="J30" s="855">
        <v>226660</v>
      </c>
      <c r="K30" s="855">
        <v>11577</v>
      </c>
      <c r="L30" s="885"/>
      <c r="M30" s="855">
        <v>3263527</v>
      </c>
      <c r="N30" s="855"/>
      <c r="O30" s="855"/>
      <c r="P30" s="885"/>
      <c r="Q30" s="855"/>
      <c r="R30" s="855">
        <v>1817118</v>
      </c>
      <c r="S30" s="883">
        <f t="shared" si="20"/>
        <v>5080645</v>
      </c>
      <c r="T30" s="869">
        <f t="shared" si="1"/>
        <v>6.803342543929289</v>
      </c>
      <c r="U30" s="850">
        <f t="shared" si="8"/>
        <v>0.6583646713726682</v>
      </c>
      <c r="V30" s="442"/>
      <c r="W30" s="502">
        <f t="shared" si="21"/>
        <v>0</v>
      </c>
      <c r="X30" s="425">
        <f t="shared" si="3"/>
        <v>5080645</v>
      </c>
      <c r="Y30" s="503" t="str">
        <f t="shared" si="4"/>
        <v>Đ</v>
      </c>
      <c r="Z30" s="461">
        <f t="shared" si="5"/>
        <v>3263527</v>
      </c>
      <c r="AA30" s="461">
        <v>13090299</v>
      </c>
      <c r="AB30" s="462">
        <f t="shared" si="9"/>
        <v>-75.06911797813022</v>
      </c>
      <c r="AC30" s="461">
        <f t="shared" si="10"/>
        <v>-9826772</v>
      </c>
    </row>
    <row r="31" spans="1:29" ht="19.5" customHeight="1">
      <c r="A31" s="851" t="s">
        <v>123</v>
      </c>
      <c r="B31" s="886" t="s">
        <v>544</v>
      </c>
      <c r="C31" s="853">
        <f t="shared" si="17"/>
        <v>9119699</v>
      </c>
      <c r="D31" s="855">
        <v>7140439</v>
      </c>
      <c r="E31" s="855">
        <f>1973256+6000+4</f>
        <v>1979260</v>
      </c>
      <c r="F31" s="855"/>
      <c r="G31" s="855"/>
      <c r="H31" s="853">
        <f t="shared" si="18"/>
        <v>9119699</v>
      </c>
      <c r="I31" s="853">
        <f t="shared" si="19"/>
        <v>7289801</v>
      </c>
      <c r="J31" s="855">
        <f>783828-14</f>
        <v>783814</v>
      </c>
      <c r="K31" s="855">
        <f>2598598+4</f>
        <v>2598602</v>
      </c>
      <c r="L31" s="855"/>
      <c r="M31" s="855">
        <f>3907371+14</f>
        <v>3907385</v>
      </c>
      <c r="N31" s="855"/>
      <c r="O31" s="855"/>
      <c r="P31" s="885"/>
      <c r="Q31" s="855"/>
      <c r="R31" s="855">
        <v>1829898</v>
      </c>
      <c r="S31" s="883">
        <f t="shared" si="20"/>
        <v>5737283</v>
      </c>
      <c r="T31" s="869">
        <f t="shared" si="1"/>
        <v>46.39929128380871</v>
      </c>
      <c r="U31" s="850">
        <f t="shared" si="8"/>
        <v>0.7993466670336379</v>
      </c>
      <c r="V31" s="442"/>
      <c r="W31" s="502">
        <f t="shared" si="21"/>
        <v>0</v>
      </c>
      <c r="X31" s="425">
        <f t="shared" si="3"/>
        <v>5737283</v>
      </c>
      <c r="Y31" s="503" t="str">
        <f t="shared" si="4"/>
        <v>Đ</v>
      </c>
      <c r="Z31" s="461">
        <f t="shared" si="5"/>
        <v>3907385</v>
      </c>
      <c r="AA31" s="461">
        <v>4216115</v>
      </c>
      <c r="AB31" s="462">
        <f t="shared" si="9"/>
        <v>-7.322618097466506</v>
      </c>
      <c r="AC31" s="461">
        <f t="shared" si="10"/>
        <v>-308730</v>
      </c>
    </row>
    <row r="32" spans="1:29" ht="19.5" customHeight="1">
      <c r="A32" s="851" t="s">
        <v>44</v>
      </c>
      <c r="B32" s="852" t="s">
        <v>487</v>
      </c>
      <c r="C32" s="853">
        <f>+C33+C34+C35+C36+C37</f>
        <v>116439899</v>
      </c>
      <c r="D32" s="853">
        <f aca="true" t="shared" si="22" ref="D32:S32">+D33+D34+D35+D36+D37</f>
        <v>63860512</v>
      </c>
      <c r="E32" s="853">
        <f t="shared" si="22"/>
        <v>52579387</v>
      </c>
      <c r="F32" s="853">
        <f t="shared" si="22"/>
        <v>2355679</v>
      </c>
      <c r="G32" s="853">
        <f t="shared" si="22"/>
        <v>0</v>
      </c>
      <c r="H32" s="853">
        <f t="shared" si="22"/>
        <v>114084220</v>
      </c>
      <c r="I32" s="853">
        <f t="shared" si="22"/>
        <v>97492412</v>
      </c>
      <c r="J32" s="853">
        <f t="shared" si="22"/>
        <v>5795759</v>
      </c>
      <c r="K32" s="853">
        <f t="shared" si="22"/>
        <v>1842909</v>
      </c>
      <c r="L32" s="853">
        <f t="shared" si="22"/>
        <v>0</v>
      </c>
      <c r="M32" s="853">
        <f t="shared" si="22"/>
        <v>89853744</v>
      </c>
      <c r="N32" s="853">
        <f t="shared" si="22"/>
        <v>0</v>
      </c>
      <c r="O32" s="853">
        <f t="shared" si="22"/>
        <v>0</v>
      </c>
      <c r="P32" s="853">
        <f t="shared" si="22"/>
        <v>0</v>
      </c>
      <c r="Q32" s="853">
        <f t="shared" si="22"/>
        <v>0</v>
      </c>
      <c r="R32" s="853">
        <f t="shared" si="22"/>
        <v>16591808</v>
      </c>
      <c r="S32" s="853">
        <f t="shared" si="22"/>
        <v>106445552</v>
      </c>
      <c r="T32" s="869">
        <f t="shared" si="1"/>
        <v>7.835141056926563</v>
      </c>
      <c r="U32" s="850">
        <f t="shared" si="8"/>
        <v>0.8545652676592784</v>
      </c>
      <c r="V32" s="469">
        <f>+V33+V34+V35+V36+V37</f>
        <v>0</v>
      </c>
      <c r="W32" s="502">
        <f t="shared" si="21"/>
        <v>0</v>
      </c>
      <c r="X32" s="425">
        <f t="shared" si="3"/>
        <v>106445552</v>
      </c>
      <c r="Y32" s="503" t="str">
        <f t="shared" si="4"/>
        <v>Đ</v>
      </c>
      <c r="Z32" s="460">
        <f t="shared" si="5"/>
        <v>89853744</v>
      </c>
      <c r="AA32" s="460">
        <v>19390422</v>
      </c>
      <c r="AB32" s="462">
        <f t="shared" si="9"/>
        <v>363.39241095423296</v>
      </c>
      <c r="AC32" s="461">
        <f t="shared" si="10"/>
        <v>70463322</v>
      </c>
    </row>
    <row r="33" spans="1:29" ht="19.5" customHeight="1">
      <c r="A33" s="851" t="s">
        <v>47</v>
      </c>
      <c r="B33" s="856" t="s">
        <v>525</v>
      </c>
      <c r="C33" s="853">
        <f>+D33+E33</f>
        <v>10026622</v>
      </c>
      <c r="D33" s="857">
        <v>6587045</v>
      </c>
      <c r="E33" s="857">
        <v>3439577</v>
      </c>
      <c r="F33" s="857">
        <v>0</v>
      </c>
      <c r="G33" s="857"/>
      <c r="H33" s="853">
        <f>SUM(I33,R33)</f>
        <v>10026622</v>
      </c>
      <c r="I33" s="853">
        <f>+J33+K33+L33+M33+N33+O33+P33+Q33</f>
        <v>8060940</v>
      </c>
      <c r="J33" s="857">
        <v>114067</v>
      </c>
      <c r="K33" s="857">
        <v>234118</v>
      </c>
      <c r="L33" s="857">
        <v>0</v>
      </c>
      <c r="M33" s="857">
        <v>7712755</v>
      </c>
      <c r="N33" s="857">
        <v>0</v>
      </c>
      <c r="O33" s="857"/>
      <c r="P33" s="857"/>
      <c r="Q33" s="857">
        <v>0</v>
      </c>
      <c r="R33" s="857">
        <v>1965682</v>
      </c>
      <c r="S33" s="883">
        <f t="shared" si="20"/>
        <v>9678437</v>
      </c>
      <c r="T33" s="869">
        <f t="shared" si="1"/>
        <v>4.31940939890385</v>
      </c>
      <c r="U33" s="850">
        <f t="shared" si="8"/>
        <v>0.8039537144214671</v>
      </c>
      <c r="V33" s="442"/>
      <c r="W33" s="502">
        <f t="shared" si="21"/>
        <v>0</v>
      </c>
      <c r="X33" s="425">
        <f t="shared" si="3"/>
        <v>9678437</v>
      </c>
      <c r="Y33" s="503" t="str">
        <f t="shared" si="4"/>
        <v>Đ</v>
      </c>
      <c r="Z33" s="461">
        <f t="shared" si="5"/>
        <v>7712755</v>
      </c>
      <c r="AA33" s="461">
        <v>1520681</v>
      </c>
      <c r="AB33" s="462">
        <f t="shared" si="9"/>
        <v>407.19085725408553</v>
      </c>
      <c r="AC33" s="461">
        <f t="shared" si="10"/>
        <v>6192074</v>
      </c>
    </row>
    <row r="34" spans="1:29" ht="19.5" customHeight="1">
      <c r="A34" s="851" t="s">
        <v>48</v>
      </c>
      <c r="B34" s="858" t="s">
        <v>486</v>
      </c>
      <c r="C34" s="853">
        <f aca="true" t="shared" si="23" ref="C34:C46">+D34+E34</f>
        <v>9506271</v>
      </c>
      <c r="D34" s="857">
        <v>7454667</v>
      </c>
      <c r="E34" s="857">
        <v>2051604</v>
      </c>
      <c r="F34" s="857">
        <v>0</v>
      </c>
      <c r="G34" s="857"/>
      <c r="H34" s="853">
        <f>SUM(I34,R34)</f>
        <v>9506271</v>
      </c>
      <c r="I34" s="853">
        <f>+J34+K34+L34+M34+N34+O34+P34+Q34</f>
        <v>7861740</v>
      </c>
      <c r="J34" s="857">
        <v>404845</v>
      </c>
      <c r="K34" s="857">
        <v>0</v>
      </c>
      <c r="L34" s="857"/>
      <c r="M34" s="857">
        <v>7456895</v>
      </c>
      <c r="N34" s="857"/>
      <c r="O34" s="857"/>
      <c r="P34" s="857"/>
      <c r="Q34" s="857"/>
      <c r="R34" s="857">
        <v>1644531</v>
      </c>
      <c r="S34" s="883">
        <f t="shared" si="20"/>
        <v>9101426</v>
      </c>
      <c r="T34" s="869">
        <f t="shared" si="1"/>
        <v>5.14955976666743</v>
      </c>
      <c r="U34" s="850">
        <f t="shared" si="8"/>
        <v>0.8270056681531591</v>
      </c>
      <c r="V34" s="442"/>
      <c r="W34" s="502">
        <f t="shared" si="21"/>
        <v>0</v>
      </c>
      <c r="X34" s="425">
        <f t="shared" si="3"/>
        <v>9101426</v>
      </c>
      <c r="Y34" s="503" t="str">
        <f t="shared" si="4"/>
        <v>Đ</v>
      </c>
      <c r="Z34" s="461">
        <f t="shared" si="5"/>
        <v>7456895</v>
      </c>
      <c r="AA34" s="461">
        <v>3242021</v>
      </c>
      <c r="AB34" s="462">
        <f t="shared" si="9"/>
        <v>130.00760945101837</v>
      </c>
      <c r="AC34" s="461">
        <f t="shared" si="10"/>
        <v>4214874</v>
      </c>
    </row>
    <row r="35" spans="1:29" ht="19.5" customHeight="1">
      <c r="A35" s="851" t="s">
        <v>485</v>
      </c>
      <c r="B35" s="858" t="s">
        <v>490</v>
      </c>
      <c r="C35" s="853">
        <f t="shared" si="23"/>
        <v>31740100</v>
      </c>
      <c r="D35" s="857">
        <v>29325050</v>
      </c>
      <c r="E35" s="857">
        <v>2415050</v>
      </c>
      <c r="F35" s="857"/>
      <c r="G35" s="857"/>
      <c r="H35" s="853">
        <f>SUM(I35,R35)</f>
        <v>31740100</v>
      </c>
      <c r="I35" s="853">
        <f>+J35+K35+L35+M35+N35+O35+P35+Q35</f>
        <v>26039525</v>
      </c>
      <c r="J35" s="857">
        <v>1773535</v>
      </c>
      <c r="K35" s="857">
        <v>1375760</v>
      </c>
      <c r="L35" s="857"/>
      <c r="M35" s="857">
        <v>22890230</v>
      </c>
      <c r="N35" s="857"/>
      <c r="O35" s="857"/>
      <c r="P35" s="857"/>
      <c r="Q35" s="857">
        <v>0</v>
      </c>
      <c r="R35" s="857">
        <v>5700575</v>
      </c>
      <c r="S35" s="883">
        <f t="shared" si="20"/>
        <v>28590805</v>
      </c>
      <c r="T35" s="869">
        <f t="shared" si="1"/>
        <v>12.09428743419859</v>
      </c>
      <c r="U35" s="850">
        <f t="shared" si="8"/>
        <v>0.8203983289277601</v>
      </c>
      <c r="V35" s="442"/>
      <c r="W35" s="502">
        <f t="shared" si="21"/>
        <v>0</v>
      </c>
      <c r="X35" s="425">
        <f t="shared" si="3"/>
        <v>28590805</v>
      </c>
      <c r="Y35" s="503" t="str">
        <f t="shared" si="4"/>
        <v>Đ</v>
      </c>
      <c r="Z35" s="461"/>
      <c r="AA35" s="461"/>
      <c r="AB35" s="462"/>
      <c r="AC35" s="461"/>
    </row>
    <row r="36" spans="1:29" ht="19.5" customHeight="1">
      <c r="A36" s="851" t="s">
        <v>483</v>
      </c>
      <c r="B36" s="858" t="s">
        <v>482</v>
      </c>
      <c r="C36" s="853">
        <f t="shared" si="23"/>
        <v>45061010</v>
      </c>
      <c r="D36" s="857">
        <v>6675741</v>
      </c>
      <c r="E36" s="857">
        <v>38385269</v>
      </c>
      <c r="F36" s="857">
        <v>0</v>
      </c>
      <c r="G36" s="857"/>
      <c r="H36" s="853">
        <f>SUM(I36,R36)</f>
        <v>45061010</v>
      </c>
      <c r="I36" s="853">
        <f>+J36+K36+L36+M36+N36+O36+P36+Q36</f>
        <v>40791694</v>
      </c>
      <c r="J36" s="857">
        <v>467214</v>
      </c>
      <c r="K36" s="857">
        <v>233031</v>
      </c>
      <c r="L36" s="857"/>
      <c r="M36" s="857">
        <v>40091449</v>
      </c>
      <c r="N36" s="857"/>
      <c r="O36" s="857"/>
      <c r="P36" s="857"/>
      <c r="Q36" s="857"/>
      <c r="R36" s="857">
        <v>4269316</v>
      </c>
      <c r="S36" s="883">
        <f t="shared" si="20"/>
        <v>44360765</v>
      </c>
      <c r="T36" s="869">
        <f t="shared" si="1"/>
        <v>1.716636234817804</v>
      </c>
      <c r="U36" s="850">
        <f t="shared" si="8"/>
        <v>0.9052547645958224</v>
      </c>
      <c r="V36" s="442"/>
      <c r="W36" s="502">
        <f t="shared" si="21"/>
        <v>0</v>
      </c>
      <c r="X36" s="425">
        <f t="shared" si="3"/>
        <v>44360765</v>
      </c>
      <c r="Y36" s="503" t="str">
        <f t="shared" si="4"/>
        <v>Đ</v>
      </c>
      <c r="Z36" s="461">
        <f t="shared" si="5"/>
        <v>40091449</v>
      </c>
      <c r="AA36" s="461">
        <v>3284174</v>
      </c>
      <c r="AB36" s="462">
        <f t="shared" si="9"/>
        <v>1120.7467996519065</v>
      </c>
      <c r="AC36" s="461">
        <f t="shared" si="10"/>
        <v>36807275</v>
      </c>
    </row>
    <row r="37" spans="1:29" ht="19.5" customHeight="1">
      <c r="A37" s="851" t="s">
        <v>532</v>
      </c>
      <c r="B37" s="858" t="s">
        <v>533</v>
      </c>
      <c r="C37" s="853">
        <f t="shared" si="23"/>
        <v>20105896</v>
      </c>
      <c r="D37" s="857">
        <v>13818009</v>
      </c>
      <c r="E37" s="857">
        <v>6287887</v>
      </c>
      <c r="F37" s="857">
        <v>2355679</v>
      </c>
      <c r="G37" s="857"/>
      <c r="H37" s="853">
        <f>SUM(I37,R37)</f>
        <v>17750217</v>
      </c>
      <c r="I37" s="853">
        <f>+J37+K37+L37+M37+N37+O37+P37+Q37</f>
        <v>14738513</v>
      </c>
      <c r="J37" s="857">
        <v>3036098</v>
      </c>
      <c r="K37" s="857">
        <v>0</v>
      </c>
      <c r="L37" s="857"/>
      <c r="M37" s="857">
        <v>11702415</v>
      </c>
      <c r="N37" s="857"/>
      <c r="O37" s="857"/>
      <c r="P37" s="857"/>
      <c r="Q37" s="857">
        <v>0</v>
      </c>
      <c r="R37" s="857">
        <v>3011704</v>
      </c>
      <c r="S37" s="883">
        <f t="shared" si="20"/>
        <v>14714119</v>
      </c>
      <c r="T37" s="869">
        <f t="shared" si="1"/>
        <v>20.5997579267325</v>
      </c>
      <c r="U37" s="850">
        <f t="shared" si="8"/>
        <v>0.8303286095037599</v>
      </c>
      <c r="V37" s="442"/>
      <c r="W37" s="502">
        <f t="shared" si="21"/>
        <v>0</v>
      </c>
      <c r="X37" s="425">
        <f t="shared" si="3"/>
        <v>14714119</v>
      </c>
      <c r="Y37" s="503" t="str">
        <f t="shared" si="4"/>
        <v>Đ</v>
      </c>
      <c r="Z37" s="461">
        <f t="shared" si="5"/>
        <v>11702415</v>
      </c>
      <c r="AA37" s="461">
        <v>5203801</v>
      </c>
      <c r="AB37" s="462">
        <f t="shared" si="9"/>
        <v>124.88206216955643</v>
      </c>
      <c r="AC37" s="461">
        <f t="shared" si="10"/>
        <v>6498614</v>
      </c>
    </row>
    <row r="38" spans="1:29" ht="19.5" customHeight="1">
      <c r="A38" s="851" t="s">
        <v>49</v>
      </c>
      <c r="B38" s="852" t="s">
        <v>481</v>
      </c>
      <c r="C38" s="853">
        <f>+C39+C40+C41+C42</f>
        <v>42000967</v>
      </c>
      <c r="D38" s="853">
        <f>+D39+D40+D41+D42</f>
        <v>35061438</v>
      </c>
      <c r="E38" s="853">
        <f>+E39+E40+E41+E42</f>
        <v>6939529</v>
      </c>
      <c r="F38" s="853">
        <f>+F39+F40+F41+F42</f>
        <v>287860</v>
      </c>
      <c r="G38" s="853">
        <f>+G39+G40+G41+G42</f>
        <v>0</v>
      </c>
      <c r="H38" s="853">
        <f aca="true" t="shared" si="24" ref="H38:T38">+H39+H40+H41+H42</f>
        <v>41713107</v>
      </c>
      <c r="I38" s="853">
        <f t="shared" si="24"/>
        <v>19961779</v>
      </c>
      <c r="J38" s="853">
        <f t="shared" si="24"/>
        <v>2175460</v>
      </c>
      <c r="K38" s="853">
        <f t="shared" si="24"/>
        <v>81724</v>
      </c>
      <c r="L38" s="853">
        <f t="shared" si="24"/>
        <v>0</v>
      </c>
      <c r="M38" s="853">
        <f t="shared" si="24"/>
        <v>17196788</v>
      </c>
      <c r="N38" s="853">
        <f t="shared" si="24"/>
        <v>396967</v>
      </c>
      <c r="O38" s="853">
        <f t="shared" si="24"/>
        <v>0</v>
      </c>
      <c r="P38" s="853">
        <f t="shared" si="24"/>
        <v>0</v>
      </c>
      <c r="Q38" s="853">
        <f t="shared" si="24"/>
        <v>110840</v>
      </c>
      <c r="R38" s="853">
        <f t="shared" si="24"/>
        <v>21751328</v>
      </c>
      <c r="S38" s="853">
        <f t="shared" si="24"/>
        <v>39455923</v>
      </c>
      <c r="T38" s="853">
        <f t="shared" si="24"/>
        <v>49.929740715159404</v>
      </c>
      <c r="U38" s="850">
        <f t="shared" si="8"/>
        <v>0.47854932024123736</v>
      </c>
      <c r="V38" s="469">
        <f>+V39+V40+V41+V42</f>
        <v>0</v>
      </c>
      <c r="W38" s="502">
        <f t="shared" si="21"/>
        <v>0</v>
      </c>
      <c r="X38" s="425">
        <f t="shared" si="3"/>
        <v>39455923</v>
      </c>
      <c r="Y38" s="503" t="str">
        <f t="shared" si="4"/>
        <v>Đ</v>
      </c>
      <c r="Z38" s="460">
        <f t="shared" si="5"/>
        <v>17704595</v>
      </c>
      <c r="AA38" s="460" t="e">
        <f>+AA39+AA40+AA41+#REF!</f>
        <v>#REF!</v>
      </c>
      <c r="AB38" s="462" t="e">
        <f t="shared" si="9"/>
        <v>#REF!</v>
      </c>
      <c r="AC38" s="461" t="e">
        <f t="shared" si="10"/>
        <v>#REF!</v>
      </c>
    </row>
    <row r="39" spans="1:29" ht="19.5" customHeight="1">
      <c r="A39" s="851" t="s">
        <v>113</v>
      </c>
      <c r="B39" s="852" t="s">
        <v>480</v>
      </c>
      <c r="C39" s="853">
        <f t="shared" si="23"/>
        <v>8542180</v>
      </c>
      <c r="D39" s="859">
        <v>7654006</v>
      </c>
      <c r="E39" s="859">
        <v>888174</v>
      </c>
      <c r="F39" s="859">
        <v>0</v>
      </c>
      <c r="G39" s="853"/>
      <c r="H39" s="853">
        <f aca="true" t="shared" si="25" ref="H39:H80">+I39+R39</f>
        <v>8542180</v>
      </c>
      <c r="I39" s="853">
        <f>+J39+K39+L39+M39+N39+O39+P39+Q39</f>
        <v>3834812</v>
      </c>
      <c r="J39" s="859">
        <v>70116</v>
      </c>
      <c r="K39" s="859"/>
      <c r="L39" s="859">
        <v>0</v>
      </c>
      <c r="M39" s="859">
        <v>3764696</v>
      </c>
      <c r="N39" s="859"/>
      <c r="O39" s="859"/>
      <c r="P39" s="859"/>
      <c r="Q39" s="859"/>
      <c r="R39" s="859">
        <v>4707368</v>
      </c>
      <c r="S39" s="889">
        <f>+R39+Q39+P39+O39+N39+M39</f>
        <v>8472064</v>
      </c>
      <c r="T39" s="869">
        <f t="shared" si="1"/>
        <v>1.8284077550607434</v>
      </c>
      <c r="U39" s="850">
        <f t="shared" si="8"/>
        <v>0.4489266206050446</v>
      </c>
      <c r="V39" s="442"/>
      <c r="W39" s="502">
        <f t="shared" si="21"/>
        <v>0</v>
      </c>
      <c r="X39" s="425">
        <f t="shared" si="3"/>
        <v>8472064</v>
      </c>
      <c r="Y39" s="503" t="str">
        <f t="shared" si="4"/>
        <v>Đ</v>
      </c>
      <c r="Z39" s="461">
        <f t="shared" si="5"/>
        <v>3764696</v>
      </c>
      <c r="AA39" s="461">
        <v>1125967</v>
      </c>
      <c r="AB39" s="462">
        <f t="shared" si="9"/>
        <v>234.35225011034962</v>
      </c>
      <c r="AC39" s="461">
        <f t="shared" si="10"/>
        <v>2638729</v>
      </c>
    </row>
    <row r="40" spans="1:29" ht="19.5" customHeight="1">
      <c r="A40" s="851" t="s">
        <v>114</v>
      </c>
      <c r="B40" s="852" t="s">
        <v>479</v>
      </c>
      <c r="C40" s="853">
        <f t="shared" si="23"/>
        <v>10463501</v>
      </c>
      <c r="D40" s="859">
        <v>8835895</v>
      </c>
      <c r="E40" s="859">
        <v>1627606</v>
      </c>
      <c r="F40" s="859">
        <v>287460</v>
      </c>
      <c r="G40" s="853"/>
      <c r="H40" s="853">
        <f t="shared" si="25"/>
        <v>10176041</v>
      </c>
      <c r="I40" s="853">
        <f>+J40+K40+L40+M40+N40+O40+P40+Q40</f>
        <v>3986134</v>
      </c>
      <c r="J40" s="859">
        <v>1285667</v>
      </c>
      <c r="K40" s="859">
        <v>2800</v>
      </c>
      <c r="L40" s="859">
        <v>0</v>
      </c>
      <c r="M40" s="859">
        <v>2697667</v>
      </c>
      <c r="N40" s="859"/>
      <c r="O40" s="859"/>
      <c r="P40" s="859"/>
      <c r="Q40" s="859"/>
      <c r="R40" s="859">
        <v>6189907</v>
      </c>
      <c r="S40" s="889">
        <f>+R40+Q40+P40+O40+N40+M40</f>
        <v>8887574</v>
      </c>
      <c r="T40" s="869">
        <f t="shared" si="1"/>
        <v>32.32372519338286</v>
      </c>
      <c r="U40" s="850">
        <f t="shared" si="8"/>
        <v>0.3917175648172015</v>
      </c>
      <c r="V40" s="442"/>
      <c r="W40" s="502">
        <f t="shared" si="21"/>
        <v>0</v>
      </c>
      <c r="X40" s="425">
        <f t="shared" si="3"/>
        <v>8887574</v>
      </c>
      <c r="Y40" s="503" t="str">
        <f t="shared" si="4"/>
        <v>Đ</v>
      </c>
      <c r="Z40" s="461">
        <f t="shared" si="5"/>
        <v>2697667</v>
      </c>
      <c r="AA40" s="461">
        <v>3997241</v>
      </c>
      <c r="AB40" s="462">
        <f t="shared" si="9"/>
        <v>-32.51177499680404</v>
      </c>
      <c r="AC40" s="461">
        <f t="shared" si="10"/>
        <v>-1299574</v>
      </c>
    </row>
    <row r="41" spans="1:29" ht="19.5" customHeight="1">
      <c r="A41" s="851" t="s">
        <v>115</v>
      </c>
      <c r="B41" s="852" t="s">
        <v>545</v>
      </c>
      <c r="C41" s="853">
        <f t="shared" si="23"/>
        <v>11480391</v>
      </c>
      <c r="D41" s="859">
        <v>8884591</v>
      </c>
      <c r="E41" s="859">
        <v>2595800</v>
      </c>
      <c r="F41" s="859">
        <v>400</v>
      </c>
      <c r="G41" s="853"/>
      <c r="H41" s="853">
        <f t="shared" si="25"/>
        <v>11479991</v>
      </c>
      <c r="I41" s="853">
        <f>+J41+K41+L41+M41+N41+O41+P41+Q41</f>
        <v>5554930</v>
      </c>
      <c r="J41" s="859">
        <v>678140</v>
      </c>
      <c r="K41" s="859">
        <v>78864</v>
      </c>
      <c r="L41" s="859"/>
      <c r="M41" s="859">
        <v>4687086</v>
      </c>
      <c r="N41" s="859"/>
      <c r="O41" s="859"/>
      <c r="P41" s="859"/>
      <c r="Q41" s="859">
        <v>110840</v>
      </c>
      <c r="R41" s="859">
        <v>5925061</v>
      </c>
      <c r="S41" s="889">
        <f>+R41+Q41+P41+O41+N41+M41</f>
        <v>10722987</v>
      </c>
      <c r="T41" s="869">
        <f t="shared" si="1"/>
        <v>13.627606468488352</v>
      </c>
      <c r="U41" s="850">
        <f t="shared" si="8"/>
        <v>0.4838792992085098</v>
      </c>
      <c r="V41" s="442"/>
      <c r="W41" s="502">
        <f t="shared" si="21"/>
        <v>0</v>
      </c>
      <c r="X41" s="425">
        <f t="shared" si="3"/>
        <v>10722987</v>
      </c>
      <c r="Y41" s="503" t="str">
        <f t="shared" si="4"/>
        <v>Đ</v>
      </c>
      <c r="Z41" s="461">
        <f t="shared" si="5"/>
        <v>4797926</v>
      </c>
      <c r="AA41" s="461">
        <v>5859265</v>
      </c>
      <c r="AB41" s="462">
        <f t="shared" si="9"/>
        <v>-18.113858990846122</v>
      </c>
      <c r="AC41" s="461">
        <f t="shared" si="10"/>
        <v>-1061339</v>
      </c>
    </row>
    <row r="42" spans="1:29" ht="19.5" customHeight="1">
      <c r="A42" s="851" t="s">
        <v>478</v>
      </c>
      <c r="B42" s="860" t="s">
        <v>546</v>
      </c>
      <c r="C42" s="853">
        <f t="shared" si="23"/>
        <v>11514895</v>
      </c>
      <c r="D42" s="859">
        <v>9686946</v>
      </c>
      <c r="E42" s="859">
        <v>1827949</v>
      </c>
      <c r="F42" s="859"/>
      <c r="G42" s="853"/>
      <c r="H42" s="853">
        <f t="shared" si="25"/>
        <v>11514895</v>
      </c>
      <c r="I42" s="853">
        <f>+J42+K42+L42+M42+N42+O42+P42+Q42</f>
        <v>6585903</v>
      </c>
      <c r="J42" s="859">
        <v>141537</v>
      </c>
      <c r="K42" s="859">
        <v>60</v>
      </c>
      <c r="L42" s="859">
        <v>0</v>
      </c>
      <c r="M42" s="859">
        <v>6047339</v>
      </c>
      <c r="N42" s="859">
        <v>396967</v>
      </c>
      <c r="O42" s="859"/>
      <c r="P42" s="859"/>
      <c r="Q42" s="859"/>
      <c r="R42" s="859">
        <v>4928992</v>
      </c>
      <c r="S42" s="889">
        <f>+R42+Q42+P42+O42+N42+M42</f>
        <v>11373298</v>
      </c>
      <c r="T42" s="869">
        <f t="shared" si="1"/>
        <v>2.1500012982274415</v>
      </c>
      <c r="U42" s="850">
        <f t="shared" si="8"/>
        <v>0.5719464224380683</v>
      </c>
      <c r="V42" s="442"/>
      <c r="W42" s="502">
        <f t="shared" si="21"/>
        <v>0</v>
      </c>
      <c r="X42" s="425">
        <f t="shared" si="3"/>
        <v>11373298</v>
      </c>
      <c r="Y42" s="503" t="str">
        <f t="shared" si="4"/>
        <v>Đ</v>
      </c>
      <c r="Z42" s="461"/>
      <c r="AA42" s="461"/>
      <c r="AB42" s="462"/>
      <c r="AC42" s="461"/>
    </row>
    <row r="43" spans="1:29" ht="19.5" customHeight="1">
      <c r="A43" s="851" t="s">
        <v>58</v>
      </c>
      <c r="B43" s="852" t="s">
        <v>477</v>
      </c>
      <c r="C43" s="853">
        <f t="shared" si="23"/>
        <v>26729981</v>
      </c>
      <c r="D43" s="853">
        <f>SUM(D44:D47)</f>
        <v>20176454</v>
      </c>
      <c r="E43" s="853">
        <f>SUM(E44:E47)</f>
        <v>6553527</v>
      </c>
      <c r="F43" s="853">
        <f>SUM(F44:F47)</f>
        <v>12200</v>
      </c>
      <c r="G43" s="853">
        <f>SUM(G44:G47)</f>
        <v>0</v>
      </c>
      <c r="H43" s="853">
        <f t="shared" si="25"/>
        <v>26717781</v>
      </c>
      <c r="I43" s="853">
        <f>SUM(J43:Q43)</f>
        <v>15086565</v>
      </c>
      <c r="J43" s="853">
        <f aca="true" t="shared" si="26" ref="J43:R43">SUM(J44:J47)</f>
        <v>1473939</v>
      </c>
      <c r="K43" s="853">
        <f t="shared" si="26"/>
        <v>2086324</v>
      </c>
      <c r="L43" s="853">
        <f t="shared" si="26"/>
        <v>0</v>
      </c>
      <c r="M43" s="853">
        <f t="shared" si="26"/>
        <v>11526302</v>
      </c>
      <c r="N43" s="853">
        <f t="shared" si="26"/>
        <v>0</v>
      </c>
      <c r="O43" s="853">
        <f t="shared" si="26"/>
        <v>0</v>
      </c>
      <c r="P43" s="853">
        <f t="shared" si="26"/>
        <v>0</v>
      </c>
      <c r="Q43" s="853">
        <f t="shared" si="26"/>
        <v>0</v>
      </c>
      <c r="R43" s="853">
        <f t="shared" si="26"/>
        <v>11631216</v>
      </c>
      <c r="S43" s="889">
        <f>+R43+Q43+P43+O43+N43+M43</f>
        <v>23157518</v>
      </c>
      <c r="T43" s="869">
        <f t="shared" si="1"/>
        <v>23.598897429600445</v>
      </c>
      <c r="U43" s="850">
        <f t="shared" si="8"/>
        <v>0.5646638468965668</v>
      </c>
      <c r="V43" s="469">
        <f>SUM(V44:V47)</f>
        <v>0</v>
      </c>
      <c r="W43" s="502">
        <f t="shared" si="21"/>
        <v>0</v>
      </c>
      <c r="X43" s="425">
        <f t="shared" si="3"/>
        <v>23157518</v>
      </c>
      <c r="Y43" s="503" t="str">
        <f t="shared" si="4"/>
        <v>Đ</v>
      </c>
      <c r="Z43" s="460">
        <f t="shared" si="5"/>
        <v>11526302</v>
      </c>
      <c r="AA43" s="460">
        <f>+AA44+AA45+AA47</f>
        <v>10000694</v>
      </c>
      <c r="AB43" s="462">
        <f t="shared" si="9"/>
        <v>15.255021301521673</v>
      </c>
      <c r="AC43" s="461">
        <f t="shared" si="10"/>
        <v>1525608</v>
      </c>
    </row>
    <row r="44" spans="1:29" ht="19.5" customHeight="1">
      <c r="A44" s="851" t="s">
        <v>116</v>
      </c>
      <c r="B44" s="852" t="s">
        <v>476</v>
      </c>
      <c r="C44" s="853">
        <f t="shared" si="23"/>
        <v>6557681</v>
      </c>
      <c r="D44" s="861">
        <v>4435372</v>
      </c>
      <c r="E44" s="861">
        <v>2122309</v>
      </c>
      <c r="F44" s="861"/>
      <c r="G44" s="853"/>
      <c r="H44" s="853">
        <f t="shared" si="25"/>
        <v>6557681</v>
      </c>
      <c r="I44" s="853">
        <f>+J44+K44+L44+M44+N44+O44+P44+Q44</f>
        <v>2045764</v>
      </c>
      <c r="J44" s="861">
        <v>110994</v>
      </c>
      <c r="K44" s="861">
        <v>26319</v>
      </c>
      <c r="L44" s="851"/>
      <c r="M44" s="861">
        <v>1908451</v>
      </c>
      <c r="N44" s="851"/>
      <c r="O44" s="851"/>
      <c r="P44" s="851"/>
      <c r="Q44" s="851"/>
      <c r="R44" s="890">
        <v>4511917</v>
      </c>
      <c r="S44" s="889">
        <f aca="true" t="shared" si="27" ref="S44:S53">+R44+Q44+P44+O44+N44+M44</f>
        <v>6420368</v>
      </c>
      <c r="T44" s="869">
        <f aca="true" t="shared" si="28" ref="T44:T80">(((J44+K44+L44))/I44)*100</f>
        <v>6.712064539213712</v>
      </c>
      <c r="U44" s="850">
        <f t="shared" si="8"/>
        <v>0.31196454966321174</v>
      </c>
      <c r="V44" s="496"/>
      <c r="W44" s="502">
        <f t="shared" si="21"/>
        <v>0</v>
      </c>
      <c r="X44" s="425">
        <f t="shared" si="3"/>
        <v>6420368</v>
      </c>
      <c r="Y44" s="503" t="str">
        <f t="shared" si="4"/>
        <v>Đ</v>
      </c>
      <c r="Z44" s="461">
        <f t="shared" si="5"/>
        <v>1908451</v>
      </c>
      <c r="AA44" s="461">
        <v>5397301</v>
      </c>
      <c r="AB44" s="462">
        <f t="shared" si="9"/>
        <v>-64.64064168368597</v>
      </c>
      <c r="AC44" s="461">
        <f t="shared" si="10"/>
        <v>-3488850</v>
      </c>
    </row>
    <row r="45" spans="1:29" ht="19.5" customHeight="1">
      <c r="A45" s="851" t="s">
        <v>117</v>
      </c>
      <c r="B45" s="852" t="s">
        <v>463</v>
      </c>
      <c r="C45" s="853">
        <f t="shared" si="23"/>
        <v>7788277</v>
      </c>
      <c r="D45" s="861">
        <v>5268705</v>
      </c>
      <c r="E45" s="861">
        <v>2519572</v>
      </c>
      <c r="F45" s="853"/>
      <c r="G45" s="853"/>
      <c r="H45" s="853">
        <f t="shared" si="25"/>
        <v>7788277</v>
      </c>
      <c r="I45" s="853">
        <f>+J45+K45+L45+M45+N45+O45+P45+Q45</f>
        <v>6124786</v>
      </c>
      <c r="J45" s="861">
        <v>651787</v>
      </c>
      <c r="K45" s="861">
        <v>1812360</v>
      </c>
      <c r="L45" s="851"/>
      <c r="M45" s="861">
        <v>3660639</v>
      </c>
      <c r="N45" s="851"/>
      <c r="O45" s="851"/>
      <c r="P45" s="851"/>
      <c r="Q45" s="851"/>
      <c r="R45" s="890">
        <v>1663491</v>
      </c>
      <c r="S45" s="889">
        <f t="shared" si="27"/>
        <v>5324130</v>
      </c>
      <c r="T45" s="869">
        <f t="shared" si="28"/>
        <v>40.23237709856311</v>
      </c>
      <c r="U45" s="850">
        <f t="shared" si="8"/>
        <v>0.7864109096273797</v>
      </c>
      <c r="V45" s="496"/>
      <c r="W45" s="502">
        <f t="shared" si="21"/>
        <v>0</v>
      </c>
      <c r="X45" s="425">
        <f aca="true" t="shared" si="29" ref="X45:X80">+M45+N45+O45+P45+Q45+R45</f>
        <v>5324130</v>
      </c>
      <c r="Y45" s="503" t="str">
        <f aca="true" t="shared" si="30" ref="Y45:Y80">+IF(X45=S45,"Đ","S")</f>
        <v>Đ</v>
      </c>
      <c r="Z45" s="461">
        <f aca="true" t="shared" si="31" ref="Z45:Z80">+M45+N45+O45+P45+Q45</f>
        <v>3660639</v>
      </c>
      <c r="AA45" s="461">
        <v>2721620</v>
      </c>
      <c r="AB45" s="462">
        <f t="shared" si="9"/>
        <v>34.502208243619606</v>
      </c>
      <c r="AC45" s="461">
        <f t="shared" si="10"/>
        <v>939019</v>
      </c>
    </row>
    <row r="46" spans="1:29" ht="19.5" customHeight="1">
      <c r="A46" s="851" t="s">
        <v>118</v>
      </c>
      <c r="B46" s="852" t="s">
        <v>475</v>
      </c>
      <c r="C46" s="853">
        <f t="shared" si="23"/>
        <v>7394351</v>
      </c>
      <c r="D46" s="861">
        <v>5928654</v>
      </c>
      <c r="E46" s="861">
        <v>1465697</v>
      </c>
      <c r="F46" s="853"/>
      <c r="G46" s="853"/>
      <c r="H46" s="853">
        <f t="shared" si="25"/>
        <v>7394351</v>
      </c>
      <c r="I46" s="853">
        <f>+J46+K46+L46+M46+N46+O46+P46+Q46</f>
        <v>3368814</v>
      </c>
      <c r="J46" s="861">
        <v>541876</v>
      </c>
      <c r="K46" s="861">
        <v>207185</v>
      </c>
      <c r="L46" s="851"/>
      <c r="M46" s="861">
        <v>2619753</v>
      </c>
      <c r="N46" s="851"/>
      <c r="O46" s="851"/>
      <c r="P46" s="851"/>
      <c r="Q46" s="851"/>
      <c r="R46" s="890">
        <v>4025537</v>
      </c>
      <c r="S46" s="889">
        <f t="shared" si="27"/>
        <v>6645290</v>
      </c>
      <c r="T46" s="869">
        <f t="shared" si="28"/>
        <v>22.235154567749955</v>
      </c>
      <c r="U46" s="850">
        <f t="shared" si="8"/>
        <v>0.4555929249233638</v>
      </c>
      <c r="V46" s="496"/>
      <c r="W46" s="502">
        <f t="shared" si="21"/>
        <v>0</v>
      </c>
      <c r="X46" s="425">
        <f t="shared" si="29"/>
        <v>6645290</v>
      </c>
      <c r="Y46" s="503" t="str">
        <f t="shared" si="30"/>
        <v>Đ</v>
      </c>
      <c r="Z46" s="461">
        <f t="shared" si="31"/>
        <v>2619753</v>
      </c>
      <c r="AA46" s="461"/>
      <c r="AB46" s="462" t="e">
        <f t="shared" si="9"/>
        <v>#DIV/0!</v>
      </c>
      <c r="AC46" s="461">
        <f t="shared" si="10"/>
        <v>2619753</v>
      </c>
    </row>
    <row r="47" spans="1:29" ht="19.5" customHeight="1">
      <c r="A47" s="851" t="s">
        <v>119</v>
      </c>
      <c r="B47" s="852" t="s">
        <v>530</v>
      </c>
      <c r="C47" s="853">
        <f aca="true" t="shared" si="32" ref="C47:C80">+D47+E47</f>
        <v>4989672</v>
      </c>
      <c r="D47" s="861">
        <v>4543723</v>
      </c>
      <c r="E47" s="861">
        <v>445949</v>
      </c>
      <c r="F47" s="853">
        <v>12200</v>
      </c>
      <c r="G47" s="853"/>
      <c r="H47" s="853">
        <f t="shared" si="25"/>
        <v>4977472</v>
      </c>
      <c r="I47" s="853">
        <f>+J47+K47+L47+M47+N47+O47+P47+Q47</f>
        <v>3547201</v>
      </c>
      <c r="J47" s="861">
        <v>169282</v>
      </c>
      <c r="K47" s="861">
        <v>40460</v>
      </c>
      <c r="L47" s="851"/>
      <c r="M47" s="861">
        <v>3337459</v>
      </c>
      <c r="N47" s="851"/>
      <c r="O47" s="851"/>
      <c r="P47" s="851"/>
      <c r="Q47" s="851"/>
      <c r="R47" s="890">
        <v>1430271</v>
      </c>
      <c r="S47" s="889">
        <f t="shared" si="27"/>
        <v>4767730</v>
      </c>
      <c r="T47" s="869">
        <f t="shared" si="28"/>
        <v>5.912887372325391</v>
      </c>
      <c r="U47" s="850">
        <f t="shared" si="8"/>
        <v>0.7126511208902833</v>
      </c>
      <c r="V47" s="496"/>
      <c r="W47" s="502">
        <f t="shared" si="21"/>
        <v>0</v>
      </c>
      <c r="X47" s="425">
        <f t="shared" si="29"/>
        <v>4767730</v>
      </c>
      <c r="Y47" s="503" t="str">
        <f t="shared" si="30"/>
        <v>Đ</v>
      </c>
      <c r="Z47" s="461">
        <f t="shared" si="31"/>
        <v>3337459</v>
      </c>
      <c r="AA47" s="461">
        <v>1881773</v>
      </c>
      <c r="AB47" s="462">
        <f t="shared" si="9"/>
        <v>77.35715200505055</v>
      </c>
      <c r="AC47" s="461">
        <f t="shared" si="10"/>
        <v>1455686</v>
      </c>
    </row>
    <row r="48" spans="1:29" ht="19.5" customHeight="1">
      <c r="A48" s="851" t="s">
        <v>59</v>
      </c>
      <c r="B48" s="852" t="s">
        <v>474</v>
      </c>
      <c r="C48" s="883">
        <f>+C49+C50+C51+C53+C52</f>
        <v>35503363</v>
      </c>
      <c r="D48" s="883">
        <f aca="true" t="shared" si="33" ref="D48:P48">+D49+D50+D51+D53+D52</f>
        <v>30210425</v>
      </c>
      <c r="E48" s="883">
        <f t="shared" si="33"/>
        <v>5292938</v>
      </c>
      <c r="F48" s="883">
        <f t="shared" si="33"/>
        <v>0</v>
      </c>
      <c r="G48" s="883">
        <f t="shared" si="33"/>
        <v>0</v>
      </c>
      <c r="H48" s="883">
        <f t="shared" si="33"/>
        <v>35503363</v>
      </c>
      <c r="I48" s="883">
        <f t="shared" si="33"/>
        <v>24629163</v>
      </c>
      <c r="J48" s="883">
        <f t="shared" si="33"/>
        <v>2343404</v>
      </c>
      <c r="K48" s="883">
        <f t="shared" si="33"/>
        <v>26787</v>
      </c>
      <c r="L48" s="883">
        <f t="shared" si="33"/>
        <v>0</v>
      </c>
      <c r="M48" s="883">
        <f t="shared" si="33"/>
        <v>16361053</v>
      </c>
      <c r="N48" s="883">
        <f t="shared" si="33"/>
        <v>1</v>
      </c>
      <c r="O48" s="883">
        <f t="shared" si="33"/>
        <v>5897918</v>
      </c>
      <c r="P48" s="883">
        <f t="shared" si="33"/>
        <v>0</v>
      </c>
      <c r="Q48" s="883">
        <f>+Q49+Q50+Q51+Q53+Q52</f>
        <v>0</v>
      </c>
      <c r="R48" s="883">
        <f>+R49+R50+R51+R53+R52</f>
        <v>10874200</v>
      </c>
      <c r="S48" s="883">
        <f>+S49+S50+S51+S53+S52</f>
        <v>33133172</v>
      </c>
      <c r="T48" s="869">
        <f t="shared" si="28"/>
        <v>9.623514205496955</v>
      </c>
      <c r="U48" s="850">
        <f t="shared" si="8"/>
        <v>0.6937135222936487</v>
      </c>
      <c r="V48" s="436">
        <f>+V49+V50+V51+V53+V52</f>
        <v>0</v>
      </c>
      <c r="W48" s="502">
        <f t="shared" si="21"/>
        <v>0</v>
      </c>
      <c r="X48" s="425">
        <f t="shared" si="29"/>
        <v>33133172</v>
      </c>
      <c r="Y48" s="503" t="str">
        <f t="shared" si="30"/>
        <v>Đ</v>
      </c>
      <c r="Z48" s="460">
        <f t="shared" si="31"/>
        <v>22258972</v>
      </c>
      <c r="AA48" s="460">
        <v>9872192</v>
      </c>
      <c r="AB48" s="462">
        <f t="shared" si="9"/>
        <v>125.47142519108219</v>
      </c>
      <c r="AC48" s="461">
        <f t="shared" si="10"/>
        <v>12386780</v>
      </c>
    </row>
    <row r="49" spans="1:29" ht="19.5" customHeight="1">
      <c r="A49" s="856" t="s">
        <v>120</v>
      </c>
      <c r="B49" s="891" t="s">
        <v>567</v>
      </c>
      <c r="C49" s="853">
        <f t="shared" si="32"/>
        <v>9639838</v>
      </c>
      <c r="D49" s="892">
        <v>7019246</v>
      </c>
      <c r="E49" s="892">
        <v>2620592</v>
      </c>
      <c r="F49" s="857"/>
      <c r="G49" s="853"/>
      <c r="H49" s="853">
        <f t="shared" si="25"/>
        <v>9639838</v>
      </c>
      <c r="I49" s="853">
        <f>+J49+K49+L49+M49+N49+O49+P49+Q49</f>
        <v>6919960</v>
      </c>
      <c r="J49" s="892">
        <v>989314</v>
      </c>
      <c r="K49" s="892">
        <v>0</v>
      </c>
      <c r="L49" s="892">
        <v>0</v>
      </c>
      <c r="M49" s="892">
        <f>C49-(F49+J49+K49+L49+N49+O49+P49+Q49+R49+G49)</f>
        <v>5930646</v>
      </c>
      <c r="N49" s="892">
        <v>0</v>
      </c>
      <c r="O49" s="892">
        <v>0</v>
      </c>
      <c r="P49" s="892">
        <v>0</v>
      </c>
      <c r="Q49" s="892">
        <v>0</v>
      </c>
      <c r="R49" s="892">
        <v>2719878</v>
      </c>
      <c r="S49" s="889">
        <f t="shared" si="27"/>
        <v>8650524</v>
      </c>
      <c r="T49" s="869">
        <f t="shared" si="28"/>
        <v>14.296527725593789</v>
      </c>
      <c r="U49" s="850">
        <f t="shared" si="8"/>
        <v>0.7178502377322109</v>
      </c>
      <c r="V49" s="499"/>
      <c r="W49" s="502">
        <f t="shared" si="21"/>
        <v>0</v>
      </c>
      <c r="X49" s="425">
        <f t="shared" si="29"/>
        <v>8650524</v>
      </c>
      <c r="Y49" s="503" t="str">
        <f t="shared" si="30"/>
        <v>Đ</v>
      </c>
      <c r="Z49" s="461">
        <f t="shared" si="31"/>
        <v>5930646</v>
      </c>
      <c r="AA49" s="461">
        <v>69046</v>
      </c>
      <c r="AB49" s="462">
        <f t="shared" si="9"/>
        <v>8489.412855197983</v>
      </c>
      <c r="AC49" s="461">
        <f t="shared" si="10"/>
        <v>5861600</v>
      </c>
    </row>
    <row r="50" spans="1:29" ht="19.5" customHeight="1">
      <c r="A50" s="856" t="s">
        <v>121</v>
      </c>
      <c r="B50" s="891" t="s">
        <v>473</v>
      </c>
      <c r="C50" s="853">
        <f t="shared" si="32"/>
        <v>1169279</v>
      </c>
      <c r="D50" s="892">
        <v>406376</v>
      </c>
      <c r="E50" s="892">
        <v>762903</v>
      </c>
      <c r="F50" s="857"/>
      <c r="G50" s="853"/>
      <c r="H50" s="853">
        <f t="shared" si="25"/>
        <v>1169279</v>
      </c>
      <c r="I50" s="853">
        <f>+J50+K50+L50+M50+N50+O50+P50+Q50</f>
        <v>838043</v>
      </c>
      <c r="J50" s="892">
        <v>156330</v>
      </c>
      <c r="K50" s="892">
        <v>10000</v>
      </c>
      <c r="L50" s="892">
        <v>0</v>
      </c>
      <c r="M50" s="892">
        <f>C50-(F50+J50+K50+L50+N50+O50+P50+Q50+R50+G50)</f>
        <v>671713</v>
      </c>
      <c r="N50" s="892">
        <v>0</v>
      </c>
      <c r="O50" s="892">
        <v>0</v>
      </c>
      <c r="P50" s="892">
        <v>0</v>
      </c>
      <c r="Q50" s="892">
        <v>0</v>
      </c>
      <c r="R50" s="892">
        <v>331236</v>
      </c>
      <c r="S50" s="889">
        <f t="shared" si="27"/>
        <v>1002949</v>
      </c>
      <c r="T50" s="869">
        <f t="shared" si="28"/>
        <v>19.847430263124924</v>
      </c>
      <c r="U50" s="850">
        <f t="shared" si="8"/>
        <v>0.7167177380248855</v>
      </c>
      <c r="V50" s="482"/>
      <c r="W50" s="502">
        <f t="shared" si="21"/>
        <v>0</v>
      </c>
      <c r="X50" s="425">
        <f t="shared" si="29"/>
        <v>1002949</v>
      </c>
      <c r="Y50" s="503" t="str">
        <f t="shared" si="30"/>
        <v>Đ</v>
      </c>
      <c r="Z50" s="461">
        <f t="shared" si="31"/>
        <v>671713</v>
      </c>
      <c r="AA50" s="461">
        <v>6139745</v>
      </c>
      <c r="AB50" s="462">
        <f t="shared" si="9"/>
        <v>-89.05959449455962</v>
      </c>
      <c r="AC50" s="461">
        <f t="shared" si="10"/>
        <v>-5468032</v>
      </c>
    </row>
    <row r="51" spans="1:29" ht="19.5" customHeight="1">
      <c r="A51" s="856" t="s">
        <v>122</v>
      </c>
      <c r="B51" s="891" t="s">
        <v>484</v>
      </c>
      <c r="C51" s="853">
        <f t="shared" si="32"/>
        <v>11048789</v>
      </c>
      <c r="D51" s="892">
        <v>10980611</v>
      </c>
      <c r="E51" s="892">
        <v>68178</v>
      </c>
      <c r="F51" s="857"/>
      <c r="G51" s="853"/>
      <c r="H51" s="853">
        <f t="shared" si="25"/>
        <v>11048789</v>
      </c>
      <c r="I51" s="853">
        <f>+J51+K51+L51+M51+N51+O51+P51+Q51</f>
        <v>7414862</v>
      </c>
      <c r="J51" s="892">
        <v>331196</v>
      </c>
      <c r="K51" s="892">
        <v>0</v>
      </c>
      <c r="L51" s="892">
        <v>0</v>
      </c>
      <c r="M51" s="892">
        <f>C51-(F51+J51+K51+L51+N51+O51+P51+Q51+R51+G51)</f>
        <v>1185747</v>
      </c>
      <c r="N51" s="892">
        <v>1</v>
      </c>
      <c r="O51" s="892">
        <v>5897918</v>
      </c>
      <c r="P51" s="892">
        <v>0</v>
      </c>
      <c r="Q51" s="892">
        <v>0</v>
      </c>
      <c r="R51" s="892">
        <v>3633927</v>
      </c>
      <c r="S51" s="889">
        <f t="shared" si="27"/>
        <v>10717593</v>
      </c>
      <c r="T51" s="869">
        <f t="shared" si="28"/>
        <v>4.466650896537252</v>
      </c>
      <c r="U51" s="850">
        <f t="shared" si="8"/>
        <v>0.6711017831909</v>
      </c>
      <c r="V51" s="482"/>
      <c r="W51" s="502">
        <f t="shared" si="21"/>
        <v>0</v>
      </c>
      <c r="X51" s="425">
        <f t="shared" si="29"/>
        <v>10717593</v>
      </c>
      <c r="Y51" s="503" t="str">
        <f t="shared" si="30"/>
        <v>Đ</v>
      </c>
      <c r="Z51" s="461">
        <f t="shared" si="31"/>
        <v>7083666</v>
      </c>
      <c r="AA51" s="461">
        <v>1746920</v>
      </c>
      <c r="AB51" s="462">
        <f t="shared" si="9"/>
        <v>305.4945847548829</v>
      </c>
      <c r="AC51" s="461">
        <f t="shared" si="10"/>
        <v>5336746</v>
      </c>
    </row>
    <row r="52" spans="1:29" ht="19.5" customHeight="1">
      <c r="A52" s="856" t="s">
        <v>472</v>
      </c>
      <c r="B52" s="891" t="s">
        <v>568</v>
      </c>
      <c r="C52" s="853">
        <f t="shared" si="32"/>
        <v>7763526</v>
      </c>
      <c r="D52" s="892">
        <v>6229140</v>
      </c>
      <c r="E52" s="892">
        <v>1534386</v>
      </c>
      <c r="F52" s="857"/>
      <c r="G52" s="853"/>
      <c r="H52" s="853">
        <f t="shared" si="25"/>
        <v>7763526</v>
      </c>
      <c r="I52" s="853">
        <f>+J52+K52+L52+M52+N52+O52+P52+Q52</f>
        <v>5313467</v>
      </c>
      <c r="J52" s="892">
        <v>421777</v>
      </c>
      <c r="K52" s="892">
        <v>0</v>
      </c>
      <c r="L52" s="892">
        <v>0</v>
      </c>
      <c r="M52" s="892">
        <f>C52-(F52+J52+K52+L52+N52+O52+P52+Q52+R52+G52)</f>
        <v>4891690</v>
      </c>
      <c r="N52" s="892">
        <v>0</v>
      </c>
      <c r="O52" s="892">
        <v>0</v>
      </c>
      <c r="P52" s="892">
        <v>0</v>
      </c>
      <c r="Q52" s="892">
        <v>0</v>
      </c>
      <c r="R52" s="892">
        <v>2450059</v>
      </c>
      <c r="S52" s="889">
        <f t="shared" si="27"/>
        <v>7341749</v>
      </c>
      <c r="T52" s="869">
        <f t="shared" si="28"/>
        <v>7.937886882519455</v>
      </c>
      <c r="U52" s="850">
        <f t="shared" si="8"/>
        <v>0.6844141437795146</v>
      </c>
      <c r="V52" s="482"/>
      <c r="W52" s="502">
        <f t="shared" si="21"/>
        <v>0</v>
      </c>
      <c r="X52" s="425">
        <f t="shared" si="29"/>
        <v>7341749</v>
      </c>
      <c r="Y52" s="503" t="str">
        <f t="shared" si="30"/>
        <v>Đ</v>
      </c>
      <c r="Z52" s="461">
        <f t="shared" si="31"/>
        <v>4891690</v>
      </c>
      <c r="AA52" s="461"/>
      <c r="AB52" s="462" t="e">
        <f t="shared" si="9"/>
        <v>#DIV/0!</v>
      </c>
      <c r="AC52" s="461">
        <f t="shared" si="10"/>
        <v>4891690</v>
      </c>
    </row>
    <row r="53" spans="1:29" ht="19.5" customHeight="1">
      <c r="A53" s="856" t="s">
        <v>522</v>
      </c>
      <c r="B53" s="891" t="s">
        <v>471</v>
      </c>
      <c r="C53" s="853">
        <f t="shared" si="32"/>
        <v>5881931</v>
      </c>
      <c r="D53" s="892">
        <v>5575052</v>
      </c>
      <c r="E53" s="892">
        <v>306879</v>
      </c>
      <c r="F53" s="857"/>
      <c r="G53" s="853"/>
      <c r="H53" s="853">
        <f t="shared" si="25"/>
        <v>5881931</v>
      </c>
      <c r="I53" s="853">
        <f>+J53+K53+L53+M53+N53+O53+P53+Q53</f>
        <v>4142831</v>
      </c>
      <c r="J53" s="892">
        <v>444787</v>
      </c>
      <c r="K53" s="892">
        <v>16787</v>
      </c>
      <c r="L53" s="892">
        <v>0</v>
      </c>
      <c r="M53" s="892">
        <f>C53-(F53+J53+K53+L53+N53+O53+P53+Q53+R53+G53)</f>
        <v>3681257</v>
      </c>
      <c r="N53" s="892">
        <v>0</v>
      </c>
      <c r="O53" s="892">
        <v>0</v>
      </c>
      <c r="P53" s="892">
        <v>0</v>
      </c>
      <c r="Q53" s="892">
        <v>0</v>
      </c>
      <c r="R53" s="892">
        <v>1739100</v>
      </c>
      <c r="S53" s="889">
        <f t="shared" si="27"/>
        <v>5420357</v>
      </c>
      <c r="T53" s="869">
        <f t="shared" si="28"/>
        <v>11.141511686090984</v>
      </c>
      <c r="U53" s="850">
        <f t="shared" si="8"/>
        <v>0.7043317917194201</v>
      </c>
      <c r="V53" s="482"/>
      <c r="W53" s="502">
        <f t="shared" si="21"/>
        <v>0</v>
      </c>
      <c r="X53" s="425">
        <f t="shared" si="29"/>
        <v>5420357</v>
      </c>
      <c r="Y53" s="503" t="str">
        <f t="shared" si="30"/>
        <v>Đ</v>
      </c>
      <c r="Z53" s="461">
        <f t="shared" si="31"/>
        <v>3681257</v>
      </c>
      <c r="AA53" s="461">
        <v>972459</v>
      </c>
      <c r="AB53" s="462">
        <f t="shared" si="9"/>
        <v>278.55138365730585</v>
      </c>
      <c r="AC53" s="461">
        <f t="shared" si="10"/>
        <v>2708798</v>
      </c>
    </row>
    <row r="54" spans="1:29" ht="19.5" customHeight="1">
      <c r="A54" s="851" t="s">
        <v>60</v>
      </c>
      <c r="B54" s="852" t="s">
        <v>470</v>
      </c>
      <c r="C54" s="853">
        <f>+C55+C56+C57+C58+C59+C60</f>
        <v>71915183</v>
      </c>
      <c r="D54" s="853">
        <f aca="true" t="shared" si="34" ref="D54:S54">+D55+D56+D57+D58+D59+D60</f>
        <v>63992181</v>
      </c>
      <c r="E54" s="853">
        <f t="shared" si="34"/>
        <v>7923002</v>
      </c>
      <c r="F54" s="853">
        <f t="shared" si="34"/>
        <v>9750</v>
      </c>
      <c r="G54" s="853">
        <f t="shared" si="34"/>
        <v>0</v>
      </c>
      <c r="H54" s="853">
        <f t="shared" si="34"/>
        <v>71905433</v>
      </c>
      <c r="I54" s="853">
        <f t="shared" si="34"/>
        <v>57225938</v>
      </c>
      <c r="J54" s="853">
        <f t="shared" si="34"/>
        <v>6070756</v>
      </c>
      <c r="K54" s="853">
        <f t="shared" si="34"/>
        <v>1952483</v>
      </c>
      <c r="L54" s="853">
        <f t="shared" si="34"/>
        <v>0</v>
      </c>
      <c r="M54" s="853">
        <f t="shared" si="34"/>
        <v>49202699</v>
      </c>
      <c r="N54" s="853">
        <f t="shared" si="34"/>
        <v>0</v>
      </c>
      <c r="O54" s="853">
        <f t="shared" si="34"/>
        <v>0</v>
      </c>
      <c r="P54" s="853">
        <f t="shared" si="34"/>
        <v>0</v>
      </c>
      <c r="Q54" s="853">
        <f t="shared" si="34"/>
        <v>0</v>
      </c>
      <c r="R54" s="853">
        <f t="shared" si="34"/>
        <v>14679495</v>
      </c>
      <c r="S54" s="853">
        <f t="shared" si="34"/>
        <v>63882194</v>
      </c>
      <c r="T54" s="869">
        <f t="shared" si="28"/>
        <v>14.020283948862488</v>
      </c>
      <c r="U54" s="850">
        <f t="shared" si="8"/>
        <v>0.7958499881365014</v>
      </c>
      <c r="V54" s="469">
        <f>+V55+V56+V57+V58+V59+V60</f>
        <v>0</v>
      </c>
      <c r="W54" s="502">
        <f t="shared" si="21"/>
        <v>0</v>
      </c>
      <c r="X54" s="425">
        <f t="shared" si="29"/>
        <v>63882194</v>
      </c>
      <c r="Y54" s="425" t="str">
        <f t="shared" si="30"/>
        <v>Đ</v>
      </c>
      <c r="Z54" s="460">
        <f t="shared" si="31"/>
        <v>49202699</v>
      </c>
      <c r="AA54" s="460">
        <v>19202799</v>
      </c>
      <c r="AB54" s="462">
        <f t="shared" si="9"/>
        <v>156.22670424243884</v>
      </c>
      <c r="AC54" s="461">
        <f t="shared" si="10"/>
        <v>29999900</v>
      </c>
    </row>
    <row r="55" spans="1:29" ht="19.5" customHeight="1">
      <c r="A55" s="851" t="s">
        <v>469</v>
      </c>
      <c r="B55" s="852" t="s">
        <v>493</v>
      </c>
      <c r="C55" s="853">
        <f t="shared" si="32"/>
        <v>7812284</v>
      </c>
      <c r="D55" s="859">
        <v>6912108</v>
      </c>
      <c r="E55" s="859">
        <v>900176</v>
      </c>
      <c r="F55" s="859">
        <v>0</v>
      </c>
      <c r="G55" s="853"/>
      <c r="H55" s="853">
        <f t="shared" si="25"/>
        <v>7812284</v>
      </c>
      <c r="I55" s="853">
        <f aca="true" t="shared" si="35" ref="I55:I80">SUM(J55:Q55)</f>
        <v>4007131</v>
      </c>
      <c r="J55" s="859">
        <v>143613</v>
      </c>
      <c r="K55" s="859">
        <v>3131</v>
      </c>
      <c r="L55" s="859">
        <v>0</v>
      </c>
      <c r="M55" s="859">
        <v>3860387</v>
      </c>
      <c r="N55" s="859"/>
      <c r="O55" s="859"/>
      <c r="P55" s="859"/>
      <c r="Q55" s="859"/>
      <c r="R55" s="859">
        <v>3805153</v>
      </c>
      <c r="S55" s="883">
        <f aca="true" t="shared" si="36" ref="S55:S80">SUM(M55:R55)</f>
        <v>7665540</v>
      </c>
      <c r="T55" s="869">
        <f t="shared" si="28"/>
        <v>3.662071442136531</v>
      </c>
      <c r="U55" s="850">
        <f t="shared" si="8"/>
        <v>0.5129269494042972</v>
      </c>
      <c r="V55" s="488"/>
      <c r="W55" s="502">
        <f t="shared" si="21"/>
        <v>0</v>
      </c>
      <c r="X55" s="425">
        <f t="shared" si="29"/>
        <v>7665540</v>
      </c>
      <c r="Y55" s="425" t="str">
        <f t="shared" si="30"/>
        <v>Đ</v>
      </c>
      <c r="Z55" s="461">
        <f t="shared" si="31"/>
        <v>3860387</v>
      </c>
      <c r="AA55" s="461">
        <v>1494335</v>
      </c>
      <c r="AB55" s="462">
        <f t="shared" si="9"/>
        <v>158.3347776770269</v>
      </c>
      <c r="AC55" s="461">
        <f t="shared" si="10"/>
        <v>2366052</v>
      </c>
    </row>
    <row r="56" spans="1:29" ht="19.5" customHeight="1">
      <c r="A56" s="851" t="s">
        <v>468</v>
      </c>
      <c r="B56" s="852" t="s">
        <v>467</v>
      </c>
      <c r="C56" s="853">
        <f t="shared" si="32"/>
        <v>17974908</v>
      </c>
      <c r="D56" s="859">
        <v>17036315</v>
      </c>
      <c r="E56" s="859">
        <v>938593</v>
      </c>
      <c r="F56" s="859"/>
      <c r="G56" s="853"/>
      <c r="H56" s="853">
        <f t="shared" si="25"/>
        <v>17974908</v>
      </c>
      <c r="I56" s="853">
        <f t="shared" si="35"/>
        <v>17390666</v>
      </c>
      <c r="J56" s="859">
        <v>1284299</v>
      </c>
      <c r="K56" s="859">
        <v>57612</v>
      </c>
      <c r="L56" s="859">
        <v>0</v>
      </c>
      <c r="M56" s="859">
        <v>16048755</v>
      </c>
      <c r="N56" s="859"/>
      <c r="O56" s="859"/>
      <c r="P56" s="859"/>
      <c r="Q56" s="859"/>
      <c r="R56" s="859">
        <v>584242</v>
      </c>
      <c r="S56" s="883">
        <f t="shared" si="36"/>
        <v>16632997</v>
      </c>
      <c r="T56" s="869">
        <f t="shared" si="28"/>
        <v>7.7162714757445166</v>
      </c>
      <c r="U56" s="850">
        <f t="shared" si="8"/>
        <v>0.9674968016526149</v>
      </c>
      <c r="V56" s="488"/>
      <c r="W56" s="502">
        <f t="shared" si="21"/>
        <v>0</v>
      </c>
      <c r="X56" s="425">
        <f t="shared" si="29"/>
        <v>16632997</v>
      </c>
      <c r="Y56" s="425" t="str">
        <f t="shared" si="30"/>
        <v>Đ</v>
      </c>
      <c r="Z56" s="461">
        <f t="shared" si="31"/>
        <v>16048755</v>
      </c>
      <c r="AA56" s="461">
        <v>6585209</v>
      </c>
      <c r="AB56" s="462">
        <f t="shared" si="9"/>
        <v>143.70912145688922</v>
      </c>
      <c r="AC56" s="461">
        <f t="shared" si="10"/>
        <v>9463546</v>
      </c>
    </row>
    <row r="57" spans="1:29" ht="19.5" customHeight="1">
      <c r="A57" s="851" t="s">
        <v>466</v>
      </c>
      <c r="B57" s="852" t="s">
        <v>465</v>
      </c>
      <c r="C57" s="853">
        <f t="shared" si="32"/>
        <v>19178039</v>
      </c>
      <c r="D57" s="859">
        <v>17888328</v>
      </c>
      <c r="E57" s="859">
        <v>1289711</v>
      </c>
      <c r="F57" s="859"/>
      <c r="G57" s="853"/>
      <c r="H57" s="853">
        <f t="shared" si="25"/>
        <v>19178039</v>
      </c>
      <c r="I57" s="853">
        <f t="shared" si="35"/>
        <v>16767568</v>
      </c>
      <c r="J57" s="859">
        <v>1361260</v>
      </c>
      <c r="K57" s="859">
        <v>126416</v>
      </c>
      <c r="L57" s="859"/>
      <c r="M57" s="859">
        <v>15279892</v>
      </c>
      <c r="N57" s="859"/>
      <c r="O57" s="859"/>
      <c r="P57" s="859"/>
      <c r="Q57" s="859"/>
      <c r="R57" s="859">
        <v>2410471</v>
      </c>
      <c r="S57" s="883">
        <f t="shared" si="36"/>
        <v>17690363</v>
      </c>
      <c r="T57" s="869">
        <f t="shared" si="28"/>
        <v>8.872342130951848</v>
      </c>
      <c r="U57" s="850">
        <f t="shared" si="8"/>
        <v>0.874310871930128</v>
      </c>
      <c r="V57" s="488"/>
      <c r="W57" s="502">
        <f t="shared" si="21"/>
        <v>0</v>
      </c>
      <c r="X57" s="425">
        <f t="shared" si="29"/>
        <v>17690363</v>
      </c>
      <c r="Y57" s="425" t="str">
        <f t="shared" si="30"/>
        <v>Đ</v>
      </c>
      <c r="Z57" s="461">
        <f t="shared" si="31"/>
        <v>15279892</v>
      </c>
      <c r="AA57" s="461">
        <v>5314571</v>
      </c>
      <c r="AB57" s="462">
        <f t="shared" si="9"/>
        <v>187.5094151531704</v>
      </c>
      <c r="AC57" s="461">
        <f t="shared" si="10"/>
        <v>9965321</v>
      </c>
    </row>
    <row r="58" spans="1:29" ht="19.5" customHeight="1">
      <c r="A58" s="851" t="s">
        <v>464</v>
      </c>
      <c r="B58" s="852" t="s">
        <v>551</v>
      </c>
      <c r="C58" s="853">
        <f t="shared" si="32"/>
        <v>12061796</v>
      </c>
      <c r="D58" s="859">
        <v>9066690</v>
      </c>
      <c r="E58" s="859">
        <v>2995106</v>
      </c>
      <c r="F58" s="859">
        <v>9750</v>
      </c>
      <c r="G58" s="853"/>
      <c r="H58" s="853">
        <f t="shared" si="25"/>
        <v>12052046</v>
      </c>
      <c r="I58" s="853">
        <f t="shared" si="35"/>
        <v>11200134</v>
      </c>
      <c r="J58" s="859">
        <v>1432446</v>
      </c>
      <c r="K58" s="859">
        <v>1680350</v>
      </c>
      <c r="L58" s="859">
        <v>0</v>
      </c>
      <c r="M58" s="859">
        <v>8087338</v>
      </c>
      <c r="N58" s="859"/>
      <c r="O58" s="859"/>
      <c r="P58" s="859"/>
      <c r="Q58" s="859"/>
      <c r="R58" s="859">
        <v>851912</v>
      </c>
      <c r="S58" s="883">
        <f t="shared" si="36"/>
        <v>8939250</v>
      </c>
      <c r="T58" s="869">
        <f t="shared" si="28"/>
        <v>27.792488911293383</v>
      </c>
      <c r="U58" s="850">
        <f t="shared" si="8"/>
        <v>0.9293139106837129</v>
      </c>
      <c r="V58" s="488"/>
      <c r="W58" s="502">
        <f t="shared" si="21"/>
        <v>0</v>
      </c>
      <c r="X58" s="425">
        <f t="shared" si="29"/>
        <v>8939250</v>
      </c>
      <c r="Y58" s="425" t="str">
        <f t="shared" si="30"/>
        <v>Đ</v>
      </c>
      <c r="Z58" s="461">
        <f t="shared" si="31"/>
        <v>8087338</v>
      </c>
      <c r="AA58" s="461">
        <v>2349707</v>
      </c>
      <c r="AB58" s="462">
        <f t="shared" si="9"/>
        <v>244.1849558264073</v>
      </c>
      <c r="AC58" s="461">
        <f t="shared" si="10"/>
        <v>5737631</v>
      </c>
    </row>
    <row r="59" spans="1:29" ht="19.5" customHeight="1">
      <c r="A59" s="851" t="s">
        <v>462</v>
      </c>
      <c r="B59" s="852" t="s">
        <v>516</v>
      </c>
      <c r="C59" s="853">
        <f t="shared" si="32"/>
        <v>9484570</v>
      </c>
      <c r="D59" s="859">
        <v>8067812</v>
      </c>
      <c r="E59" s="859">
        <v>1416758</v>
      </c>
      <c r="F59" s="859"/>
      <c r="G59" s="853"/>
      <c r="H59" s="853">
        <f t="shared" si="25"/>
        <v>9484570</v>
      </c>
      <c r="I59" s="853">
        <f t="shared" si="35"/>
        <v>6358287</v>
      </c>
      <c r="J59" s="859">
        <v>1648927</v>
      </c>
      <c r="K59" s="859">
        <v>6266</v>
      </c>
      <c r="L59" s="859">
        <v>0</v>
      </c>
      <c r="M59" s="859">
        <v>4703094</v>
      </c>
      <c r="N59" s="859"/>
      <c r="O59" s="859"/>
      <c r="P59" s="859"/>
      <c r="Q59" s="859"/>
      <c r="R59" s="859">
        <v>3126283</v>
      </c>
      <c r="S59" s="883">
        <f t="shared" si="36"/>
        <v>7829377</v>
      </c>
      <c r="T59" s="869">
        <f t="shared" si="28"/>
        <v>26.032058634660558</v>
      </c>
      <c r="U59" s="850">
        <f t="shared" si="8"/>
        <v>0.6703822102636177</v>
      </c>
      <c r="V59" s="488"/>
      <c r="W59" s="502">
        <f t="shared" si="21"/>
        <v>0</v>
      </c>
      <c r="X59" s="425">
        <f t="shared" si="29"/>
        <v>7829377</v>
      </c>
      <c r="Y59" s="425" t="str">
        <f t="shared" si="30"/>
        <v>Đ</v>
      </c>
      <c r="Z59" s="461"/>
      <c r="AA59" s="461"/>
      <c r="AB59" s="462"/>
      <c r="AC59" s="461"/>
    </row>
    <row r="60" spans="1:29" ht="19.5" customHeight="1">
      <c r="A60" s="851" t="s">
        <v>520</v>
      </c>
      <c r="B60" s="852" t="s">
        <v>534</v>
      </c>
      <c r="C60" s="853">
        <f t="shared" si="32"/>
        <v>5403586</v>
      </c>
      <c r="D60" s="855">
        <v>5020928</v>
      </c>
      <c r="E60" s="853">
        <v>382658</v>
      </c>
      <c r="F60" s="853"/>
      <c r="G60" s="855"/>
      <c r="H60" s="853">
        <f t="shared" si="25"/>
        <v>5403586</v>
      </c>
      <c r="I60" s="853">
        <f t="shared" si="35"/>
        <v>1502152</v>
      </c>
      <c r="J60" s="853">
        <v>200211</v>
      </c>
      <c r="K60" s="853">
        <v>78708</v>
      </c>
      <c r="L60" s="859"/>
      <c r="M60" s="853">
        <v>1223233</v>
      </c>
      <c r="N60" s="859"/>
      <c r="O60" s="859"/>
      <c r="P60" s="859"/>
      <c r="Q60" s="859"/>
      <c r="R60" s="853">
        <v>3901434</v>
      </c>
      <c r="S60" s="883">
        <f t="shared" si="36"/>
        <v>5124667</v>
      </c>
      <c r="T60" s="869">
        <f t="shared" si="28"/>
        <v>18.567961165048544</v>
      </c>
      <c r="U60" s="850">
        <f t="shared" si="8"/>
        <v>0.2779916892226755</v>
      </c>
      <c r="V60" s="488">
        <v>0</v>
      </c>
      <c r="W60" s="502">
        <f t="shared" si="21"/>
        <v>0</v>
      </c>
      <c r="X60" s="425">
        <f t="shared" si="29"/>
        <v>5124667</v>
      </c>
      <c r="Y60" s="425" t="str">
        <f t="shared" si="30"/>
        <v>Đ</v>
      </c>
      <c r="Z60" s="461">
        <f t="shared" si="31"/>
        <v>1223233</v>
      </c>
      <c r="AA60" s="461">
        <v>4444304</v>
      </c>
      <c r="AB60" s="462">
        <f t="shared" si="9"/>
        <v>-72.47638775385302</v>
      </c>
      <c r="AC60" s="461">
        <f t="shared" si="10"/>
        <v>-3221071</v>
      </c>
    </row>
    <row r="61" spans="1:29" ht="19.5" customHeight="1">
      <c r="A61" s="851" t="s">
        <v>61</v>
      </c>
      <c r="B61" s="852" t="s">
        <v>461</v>
      </c>
      <c r="C61" s="853">
        <f t="shared" si="32"/>
        <v>44651837</v>
      </c>
      <c r="D61" s="853">
        <f>SUM(D62:D67)</f>
        <v>34688027</v>
      </c>
      <c r="E61" s="853">
        <f aca="true" t="shared" si="37" ref="E61:S61">SUM(E62:E67)</f>
        <v>9963810</v>
      </c>
      <c r="F61" s="853">
        <f t="shared" si="37"/>
        <v>117600</v>
      </c>
      <c r="G61" s="853">
        <f t="shared" si="37"/>
        <v>0</v>
      </c>
      <c r="H61" s="853">
        <f t="shared" si="37"/>
        <v>44534237</v>
      </c>
      <c r="I61" s="853">
        <f t="shared" si="37"/>
        <v>31162996</v>
      </c>
      <c r="J61" s="853">
        <f t="shared" si="37"/>
        <v>1588389</v>
      </c>
      <c r="K61" s="853">
        <f t="shared" si="37"/>
        <v>207427</v>
      </c>
      <c r="L61" s="853">
        <f t="shared" si="37"/>
        <v>0</v>
      </c>
      <c r="M61" s="853">
        <f t="shared" si="37"/>
        <v>27939568</v>
      </c>
      <c r="N61" s="853">
        <f t="shared" si="37"/>
        <v>2862</v>
      </c>
      <c r="O61" s="853">
        <f t="shared" si="37"/>
        <v>1416050</v>
      </c>
      <c r="P61" s="853">
        <f t="shared" si="37"/>
        <v>0</v>
      </c>
      <c r="Q61" s="853">
        <f t="shared" si="37"/>
        <v>8700</v>
      </c>
      <c r="R61" s="853">
        <f t="shared" si="37"/>
        <v>13371241</v>
      </c>
      <c r="S61" s="853">
        <f t="shared" si="37"/>
        <v>42738421</v>
      </c>
      <c r="T61" s="869">
        <f t="shared" si="28"/>
        <v>5.762655169612062</v>
      </c>
      <c r="U61" s="850">
        <f t="shared" si="8"/>
        <v>0.6997536749085878</v>
      </c>
      <c r="V61" s="469">
        <f>SUM(V62:V67)</f>
        <v>0</v>
      </c>
      <c r="W61" s="502">
        <f t="shared" si="21"/>
        <v>0</v>
      </c>
      <c r="X61" s="425">
        <f t="shared" si="29"/>
        <v>42738421</v>
      </c>
      <c r="Y61" s="425" t="str">
        <f t="shared" si="30"/>
        <v>Đ</v>
      </c>
      <c r="Z61" s="460">
        <f t="shared" si="31"/>
        <v>29367180</v>
      </c>
      <c r="AA61" s="460">
        <f>+AA62+AA63+AA64+AA65+AA67+AA66</f>
        <v>11079640</v>
      </c>
      <c r="AB61" s="462">
        <f t="shared" si="9"/>
        <v>165.05536280962195</v>
      </c>
      <c r="AC61" s="461">
        <f t="shared" si="10"/>
        <v>18287540</v>
      </c>
    </row>
    <row r="62" spans="1:29" ht="19.5" customHeight="1">
      <c r="A62" s="851" t="s">
        <v>460</v>
      </c>
      <c r="B62" s="852" t="s">
        <v>459</v>
      </c>
      <c r="C62" s="853">
        <f t="shared" si="32"/>
        <v>11381805</v>
      </c>
      <c r="D62" s="853">
        <v>9928847</v>
      </c>
      <c r="E62" s="853">
        <v>1452958</v>
      </c>
      <c r="F62" s="853">
        <v>0</v>
      </c>
      <c r="G62" s="853"/>
      <c r="H62" s="853">
        <f t="shared" si="25"/>
        <v>11381805</v>
      </c>
      <c r="I62" s="853">
        <f t="shared" si="35"/>
        <v>7070879</v>
      </c>
      <c r="J62" s="853">
        <v>204443</v>
      </c>
      <c r="K62" s="853"/>
      <c r="L62" s="853"/>
      <c r="M62" s="853">
        <v>5450386</v>
      </c>
      <c r="N62" s="853"/>
      <c r="O62" s="853">
        <v>1416050</v>
      </c>
      <c r="P62" s="853"/>
      <c r="Q62" s="853"/>
      <c r="R62" s="853">
        <v>4310926</v>
      </c>
      <c r="S62" s="883">
        <f t="shared" si="36"/>
        <v>11177362</v>
      </c>
      <c r="T62" s="869">
        <f t="shared" si="28"/>
        <v>2.8913378379123724</v>
      </c>
      <c r="U62" s="850">
        <f t="shared" si="8"/>
        <v>0.6212440821117564</v>
      </c>
      <c r="V62" s="489"/>
      <c r="W62" s="502">
        <f t="shared" si="21"/>
        <v>0</v>
      </c>
      <c r="X62" s="425">
        <f t="shared" si="29"/>
        <v>11177362</v>
      </c>
      <c r="Y62" s="425" t="str">
        <f t="shared" si="30"/>
        <v>Đ</v>
      </c>
      <c r="Z62" s="461">
        <f t="shared" si="31"/>
        <v>6866436</v>
      </c>
      <c r="AA62" s="461">
        <v>2355474</v>
      </c>
      <c r="AB62" s="462">
        <f t="shared" si="9"/>
        <v>191.50973434646275</v>
      </c>
      <c r="AC62" s="461">
        <f t="shared" si="10"/>
        <v>4510962</v>
      </c>
    </row>
    <row r="63" spans="1:29" ht="19.5" customHeight="1">
      <c r="A63" s="851" t="s">
        <v>458</v>
      </c>
      <c r="B63" s="852" t="s">
        <v>457</v>
      </c>
      <c r="C63" s="853">
        <f t="shared" si="32"/>
        <v>3162820</v>
      </c>
      <c r="D63" s="853">
        <v>1811880</v>
      </c>
      <c r="E63" s="853">
        <v>1350940</v>
      </c>
      <c r="F63" s="853">
        <v>0</v>
      </c>
      <c r="G63" s="853"/>
      <c r="H63" s="853">
        <f t="shared" si="25"/>
        <v>3162820</v>
      </c>
      <c r="I63" s="853">
        <f t="shared" si="35"/>
        <v>2280589</v>
      </c>
      <c r="J63" s="853">
        <v>439690</v>
      </c>
      <c r="K63" s="853">
        <v>22735</v>
      </c>
      <c r="L63" s="853"/>
      <c r="M63" s="853">
        <v>1818164</v>
      </c>
      <c r="N63" s="853"/>
      <c r="O63" s="853">
        <v>0</v>
      </c>
      <c r="P63" s="853"/>
      <c r="Q63" s="853"/>
      <c r="R63" s="853">
        <v>882231</v>
      </c>
      <c r="S63" s="883">
        <f t="shared" si="36"/>
        <v>2700395</v>
      </c>
      <c r="T63" s="869">
        <f t="shared" si="28"/>
        <v>20.276560134246022</v>
      </c>
      <c r="U63" s="850">
        <f t="shared" si="8"/>
        <v>0.7210619004559222</v>
      </c>
      <c r="V63" s="489"/>
      <c r="W63" s="502">
        <f t="shared" si="21"/>
        <v>0</v>
      </c>
      <c r="X63" s="425">
        <f t="shared" si="29"/>
        <v>2700395</v>
      </c>
      <c r="Y63" s="425" t="str">
        <f t="shared" si="30"/>
        <v>Đ</v>
      </c>
      <c r="Z63" s="461">
        <f t="shared" si="31"/>
        <v>1818164</v>
      </c>
      <c r="AA63" s="461">
        <v>1621692</v>
      </c>
      <c r="AB63" s="462">
        <f t="shared" si="9"/>
        <v>12.115247531590462</v>
      </c>
      <c r="AC63" s="461">
        <f t="shared" si="10"/>
        <v>196472</v>
      </c>
    </row>
    <row r="64" spans="1:29" ht="19.5" customHeight="1">
      <c r="A64" s="851" t="s">
        <v>456</v>
      </c>
      <c r="B64" s="852" t="s">
        <v>455</v>
      </c>
      <c r="C64" s="853">
        <f t="shared" si="32"/>
        <v>5253606</v>
      </c>
      <c r="D64" s="853">
        <v>2534316</v>
      </c>
      <c r="E64" s="853">
        <v>2719290</v>
      </c>
      <c r="F64" s="853">
        <v>117600</v>
      </c>
      <c r="G64" s="853"/>
      <c r="H64" s="853">
        <f t="shared" si="25"/>
        <v>5136006</v>
      </c>
      <c r="I64" s="853">
        <f t="shared" si="35"/>
        <v>4166966</v>
      </c>
      <c r="J64" s="853">
        <v>207511</v>
      </c>
      <c r="K64" s="853">
        <v>49174</v>
      </c>
      <c r="L64" s="853"/>
      <c r="M64" s="862">
        <v>3907419</v>
      </c>
      <c r="N64" s="853">
        <v>2862</v>
      </c>
      <c r="O64" s="853">
        <v>0</v>
      </c>
      <c r="P64" s="853"/>
      <c r="Q64" s="853"/>
      <c r="R64" s="853">
        <v>969040</v>
      </c>
      <c r="S64" s="883">
        <f t="shared" si="36"/>
        <v>4879321</v>
      </c>
      <c r="T64" s="869">
        <f t="shared" si="28"/>
        <v>6.159997465782059</v>
      </c>
      <c r="U64" s="850">
        <f t="shared" si="8"/>
        <v>0.8113242079545857</v>
      </c>
      <c r="V64" s="489"/>
      <c r="W64" s="502">
        <f t="shared" si="21"/>
        <v>0</v>
      </c>
      <c r="X64" s="425">
        <f t="shared" si="29"/>
        <v>4879321</v>
      </c>
      <c r="Y64" s="425" t="str">
        <f t="shared" si="30"/>
        <v>Đ</v>
      </c>
      <c r="Z64" s="461">
        <f t="shared" si="31"/>
        <v>3910281</v>
      </c>
      <c r="AA64" s="461">
        <v>384325</v>
      </c>
      <c r="AB64" s="462">
        <f t="shared" si="9"/>
        <v>917.4412281272361</v>
      </c>
      <c r="AC64" s="461">
        <f t="shared" si="10"/>
        <v>3525956</v>
      </c>
    </row>
    <row r="65" spans="1:29" ht="19.5" customHeight="1">
      <c r="A65" s="851" t="s">
        <v>454</v>
      </c>
      <c r="B65" s="852" t="s">
        <v>548</v>
      </c>
      <c r="C65" s="853">
        <f t="shared" si="32"/>
        <v>13157655</v>
      </c>
      <c r="D65" s="853">
        <v>11448256</v>
      </c>
      <c r="E65" s="853">
        <v>1709399</v>
      </c>
      <c r="F65" s="853">
        <v>0</v>
      </c>
      <c r="G65" s="853"/>
      <c r="H65" s="853">
        <f t="shared" si="25"/>
        <v>13157655</v>
      </c>
      <c r="I65" s="853">
        <f t="shared" si="35"/>
        <v>9909041</v>
      </c>
      <c r="J65" s="853">
        <v>234451</v>
      </c>
      <c r="K65" s="853">
        <v>45387</v>
      </c>
      <c r="L65" s="853"/>
      <c r="M65" s="862">
        <v>9629203</v>
      </c>
      <c r="N65" s="853"/>
      <c r="O65" s="853"/>
      <c r="P65" s="853"/>
      <c r="Q65" s="853"/>
      <c r="R65" s="853">
        <v>3248614</v>
      </c>
      <c r="S65" s="883">
        <f t="shared" si="36"/>
        <v>12877817</v>
      </c>
      <c r="T65" s="869">
        <f t="shared" si="28"/>
        <v>2.8240674349818513</v>
      </c>
      <c r="U65" s="850">
        <f t="shared" si="8"/>
        <v>0.7531008374972592</v>
      </c>
      <c r="V65" s="489"/>
      <c r="W65" s="502">
        <f t="shared" si="21"/>
        <v>0</v>
      </c>
      <c r="X65" s="425">
        <f t="shared" si="29"/>
        <v>12877817</v>
      </c>
      <c r="Y65" s="425" t="str">
        <f t="shared" si="30"/>
        <v>Đ</v>
      </c>
      <c r="Z65" s="506">
        <f t="shared" si="31"/>
        <v>9629203</v>
      </c>
      <c r="AA65" s="506"/>
      <c r="AB65" s="462" t="e">
        <f t="shared" si="9"/>
        <v>#DIV/0!</v>
      </c>
      <c r="AC65" s="461">
        <f t="shared" si="10"/>
        <v>9629203</v>
      </c>
    </row>
    <row r="66" spans="1:29" ht="19.5" customHeight="1">
      <c r="A66" s="851" t="s">
        <v>452</v>
      </c>
      <c r="B66" s="852" t="s">
        <v>453</v>
      </c>
      <c r="C66" s="853">
        <f t="shared" si="32"/>
        <v>7340595</v>
      </c>
      <c r="D66" s="853">
        <v>5684209</v>
      </c>
      <c r="E66" s="853">
        <v>1656386</v>
      </c>
      <c r="F66" s="853">
        <v>0</v>
      </c>
      <c r="G66" s="853"/>
      <c r="H66" s="853">
        <f t="shared" si="25"/>
        <v>7340595</v>
      </c>
      <c r="I66" s="853">
        <f t="shared" si="35"/>
        <v>3618429</v>
      </c>
      <c r="J66" s="853">
        <v>344537</v>
      </c>
      <c r="K66" s="853">
        <v>90131</v>
      </c>
      <c r="L66" s="853"/>
      <c r="M66" s="853">
        <v>3175061</v>
      </c>
      <c r="N66" s="853"/>
      <c r="O66" s="853"/>
      <c r="P66" s="853"/>
      <c r="Q66" s="853">
        <v>8700</v>
      </c>
      <c r="R66" s="853">
        <v>3722166</v>
      </c>
      <c r="S66" s="883">
        <f t="shared" si="36"/>
        <v>6905927</v>
      </c>
      <c r="T66" s="869">
        <f t="shared" si="28"/>
        <v>12.012616525016796</v>
      </c>
      <c r="U66" s="850">
        <f t="shared" si="8"/>
        <v>0.4929340196537202</v>
      </c>
      <c r="V66" s="489"/>
      <c r="W66" s="502">
        <f t="shared" si="21"/>
        <v>0</v>
      </c>
      <c r="X66" s="425">
        <f t="shared" si="29"/>
        <v>6905927</v>
      </c>
      <c r="Y66" s="425" t="str">
        <f t="shared" si="30"/>
        <v>Đ</v>
      </c>
      <c r="Z66" s="461">
        <f t="shared" si="31"/>
        <v>3183761</v>
      </c>
      <c r="AA66" s="461">
        <v>2397180</v>
      </c>
      <c r="AB66" s="462">
        <f t="shared" si="9"/>
        <v>32.812763330246376</v>
      </c>
      <c r="AC66" s="461">
        <f t="shared" si="10"/>
        <v>786581</v>
      </c>
    </row>
    <row r="67" spans="1:29" ht="19.5" customHeight="1">
      <c r="A67" s="851" t="s">
        <v>547</v>
      </c>
      <c r="B67" s="852" t="s">
        <v>519</v>
      </c>
      <c r="C67" s="853">
        <f t="shared" si="32"/>
        <v>4355356</v>
      </c>
      <c r="D67" s="853">
        <v>3280519</v>
      </c>
      <c r="E67" s="853">
        <v>1074837</v>
      </c>
      <c r="F67" s="853">
        <v>0</v>
      </c>
      <c r="G67" s="853"/>
      <c r="H67" s="853">
        <f t="shared" si="25"/>
        <v>4355356</v>
      </c>
      <c r="I67" s="853">
        <f t="shared" si="35"/>
        <v>4117092</v>
      </c>
      <c r="J67" s="853">
        <v>157757</v>
      </c>
      <c r="K67" s="853"/>
      <c r="L67" s="853"/>
      <c r="M67" s="853">
        <v>3959335</v>
      </c>
      <c r="N67" s="853"/>
      <c r="O67" s="853"/>
      <c r="P67" s="853"/>
      <c r="Q67" s="853"/>
      <c r="R67" s="853">
        <v>238264</v>
      </c>
      <c r="S67" s="883">
        <f t="shared" si="36"/>
        <v>4197599</v>
      </c>
      <c r="T67" s="869">
        <f t="shared" si="28"/>
        <v>3.831757949543027</v>
      </c>
      <c r="U67" s="850">
        <f t="shared" si="8"/>
        <v>0.9452940241853938</v>
      </c>
      <c r="V67" s="489"/>
      <c r="W67" s="502">
        <f t="shared" si="21"/>
        <v>0</v>
      </c>
      <c r="X67" s="425">
        <f t="shared" si="29"/>
        <v>4197599</v>
      </c>
      <c r="Y67" s="425" t="str">
        <f t="shared" si="30"/>
        <v>Đ</v>
      </c>
      <c r="Z67" s="506">
        <f t="shared" si="31"/>
        <v>3959335</v>
      </c>
      <c r="AA67" s="506">
        <v>4320969</v>
      </c>
      <c r="AB67" s="462">
        <f t="shared" si="9"/>
        <v>-8.36928013137794</v>
      </c>
      <c r="AC67" s="461">
        <f t="shared" si="10"/>
        <v>-361634</v>
      </c>
    </row>
    <row r="68" spans="1:29" ht="19.5" customHeight="1">
      <c r="A68" s="851" t="s">
        <v>62</v>
      </c>
      <c r="B68" s="852" t="s">
        <v>451</v>
      </c>
      <c r="C68" s="853">
        <f t="shared" si="32"/>
        <v>137358648</v>
      </c>
      <c r="D68" s="853">
        <f>SUM(D69:D74)</f>
        <v>119714458</v>
      </c>
      <c r="E68" s="853">
        <f>SUM(E69:E74)</f>
        <v>17644190</v>
      </c>
      <c r="F68" s="853">
        <f>SUM(F69:F74)</f>
        <v>575</v>
      </c>
      <c r="G68" s="853">
        <f>SUM(G69:G74)</f>
        <v>0</v>
      </c>
      <c r="H68" s="853">
        <f t="shared" si="25"/>
        <v>137358073</v>
      </c>
      <c r="I68" s="853">
        <f t="shared" si="35"/>
        <v>104981259</v>
      </c>
      <c r="J68" s="853">
        <f>SUM(J69:J74)</f>
        <v>6089258</v>
      </c>
      <c r="K68" s="853">
        <f>SUM(K69:K74)</f>
        <v>383423</v>
      </c>
      <c r="L68" s="853">
        <f>SUM(L69:L74)</f>
        <v>0</v>
      </c>
      <c r="M68" s="853">
        <f aca="true" t="shared" si="38" ref="M68:R68">SUM(M69:M74)</f>
        <v>98475728</v>
      </c>
      <c r="N68" s="853">
        <f t="shared" si="38"/>
        <v>0</v>
      </c>
      <c r="O68" s="853">
        <f t="shared" si="38"/>
        <v>32850</v>
      </c>
      <c r="P68" s="853">
        <f t="shared" si="38"/>
        <v>0</v>
      </c>
      <c r="Q68" s="853">
        <f t="shared" si="38"/>
        <v>0</v>
      </c>
      <c r="R68" s="853">
        <f t="shared" si="38"/>
        <v>32376814</v>
      </c>
      <c r="S68" s="883">
        <f t="shared" si="36"/>
        <v>130885392</v>
      </c>
      <c r="T68" s="869">
        <f t="shared" si="28"/>
        <v>6.165558559361533</v>
      </c>
      <c r="U68" s="850">
        <f t="shared" si="8"/>
        <v>0.7642889617416225</v>
      </c>
      <c r="V68" s="469">
        <f>+V69+V70+V71+V72+V73+V74</f>
        <v>0</v>
      </c>
      <c r="W68" s="502">
        <f t="shared" si="21"/>
        <v>0</v>
      </c>
      <c r="X68" s="425">
        <f t="shared" si="29"/>
        <v>130885392</v>
      </c>
      <c r="Y68" s="425" t="str">
        <f t="shared" si="30"/>
        <v>Đ</v>
      </c>
      <c r="Z68" s="460">
        <f t="shared" si="31"/>
        <v>98508578</v>
      </c>
      <c r="AA68" s="460">
        <f>+AA69+AA70+AA71+AA73+AA74</f>
        <v>46252350</v>
      </c>
      <c r="AB68" s="462">
        <f t="shared" si="9"/>
        <v>112.98069827803343</v>
      </c>
      <c r="AC68" s="461">
        <f t="shared" si="10"/>
        <v>52256228</v>
      </c>
    </row>
    <row r="69" spans="1:29" ht="19.5" customHeight="1">
      <c r="A69" s="851" t="s">
        <v>450</v>
      </c>
      <c r="B69" s="863" t="s">
        <v>449</v>
      </c>
      <c r="C69" s="853">
        <f t="shared" si="32"/>
        <v>21813669</v>
      </c>
      <c r="D69" s="864">
        <v>17625656</v>
      </c>
      <c r="E69" s="864">
        <v>4188013</v>
      </c>
      <c r="F69" s="864"/>
      <c r="G69" s="865"/>
      <c r="H69" s="853">
        <f t="shared" si="25"/>
        <v>21813669</v>
      </c>
      <c r="I69" s="853">
        <f t="shared" si="35"/>
        <v>19900580</v>
      </c>
      <c r="J69" s="864">
        <v>629337</v>
      </c>
      <c r="K69" s="864">
        <v>151976</v>
      </c>
      <c r="L69" s="864"/>
      <c r="M69" s="864">
        <v>19119267</v>
      </c>
      <c r="N69" s="864"/>
      <c r="O69" s="864"/>
      <c r="P69" s="864"/>
      <c r="Q69" s="864"/>
      <c r="R69" s="864">
        <v>1913089</v>
      </c>
      <c r="S69" s="883">
        <f t="shared" si="36"/>
        <v>21032356</v>
      </c>
      <c r="T69" s="869">
        <f t="shared" si="28"/>
        <v>3.92608155139197</v>
      </c>
      <c r="U69" s="850">
        <f t="shared" si="8"/>
        <v>0.9122986142312878</v>
      </c>
      <c r="V69" s="493"/>
      <c r="W69" s="502">
        <f t="shared" si="21"/>
        <v>0</v>
      </c>
      <c r="X69" s="425">
        <f t="shared" si="29"/>
        <v>21032356</v>
      </c>
      <c r="Y69" s="425" t="str">
        <f t="shared" si="30"/>
        <v>Đ</v>
      </c>
      <c r="Z69" s="461">
        <f t="shared" si="31"/>
        <v>19119267</v>
      </c>
      <c r="AA69" s="461">
        <v>11705100</v>
      </c>
      <c r="AB69" s="462">
        <f t="shared" si="9"/>
        <v>63.34133839095779</v>
      </c>
      <c r="AC69" s="461">
        <f t="shared" si="10"/>
        <v>7414167</v>
      </c>
    </row>
    <row r="70" spans="1:29" ht="19.5" customHeight="1">
      <c r="A70" s="851" t="s">
        <v>448</v>
      </c>
      <c r="B70" s="863" t="s">
        <v>535</v>
      </c>
      <c r="C70" s="853">
        <f t="shared" si="32"/>
        <v>32656700</v>
      </c>
      <c r="D70" s="864">
        <v>30224574</v>
      </c>
      <c r="E70" s="864">
        <v>2432126</v>
      </c>
      <c r="F70" s="864"/>
      <c r="G70" s="865"/>
      <c r="H70" s="853">
        <f t="shared" si="25"/>
        <v>32656700</v>
      </c>
      <c r="I70" s="853">
        <f t="shared" si="35"/>
        <v>25623146</v>
      </c>
      <c r="J70" s="864">
        <v>1464054</v>
      </c>
      <c r="K70" s="864">
        <v>223695</v>
      </c>
      <c r="L70" s="864"/>
      <c r="M70" s="864">
        <v>23935397</v>
      </c>
      <c r="N70" s="864"/>
      <c r="O70" s="864"/>
      <c r="P70" s="864"/>
      <c r="Q70" s="864"/>
      <c r="R70" s="864">
        <v>7033554</v>
      </c>
      <c r="S70" s="883">
        <f t="shared" si="36"/>
        <v>30968951</v>
      </c>
      <c r="T70" s="869">
        <f t="shared" si="28"/>
        <v>6.586814125010254</v>
      </c>
      <c r="U70" s="850">
        <f t="shared" si="8"/>
        <v>0.784621410001623</v>
      </c>
      <c r="V70" s="494"/>
      <c r="W70" s="502">
        <f t="shared" si="21"/>
        <v>0</v>
      </c>
      <c r="X70" s="425">
        <f t="shared" si="29"/>
        <v>30968951</v>
      </c>
      <c r="Y70" s="425" t="str">
        <f t="shared" si="30"/>
        <v>Đ</v>
      </c>
      <c r="Z70" s="461">
        <f t="shared" si="31"/>
        <v>23935397</v>
      </c>
      <c r="AA70" s="461">
        <v>4388460</v>
      </c>
      <c r="AB70" s="462">
        <f t="shared" si="9"/>
        <v>445.416774905092</v>
      </c>
      <c r="AC70" s="461">
        <f t="shared" si="10"/>
        <v>19546937</v>
      </c>
    </row>
    <row r="71" spans="1:29" ht="19.5" customHeight="1">
      <c r="A71" s="851" t="s">
        <v>447</v>
      </c>
      <c r="B71" s="866" t="s">
        <v>536</v>
      </c>
      <c r="C71" s="853">
        <f t="shared" si="32"/>
        <v>20554128</v>
      </c>
      <c r="D71" s="864">
        <v>19809690</v>
      </c>
      <c r="E71" s="864">
        <v>744438</v>
      </c>
      <c r="F71" s="864"/>
      <c r="G71" s="865"/>
      <c r="H71" s="853">
        <f t="shared" si="25"/>
        <v>20554128</v>
      </c>
      <c r="I71" s="853">
        <f t="shared" si="35"/>
        <v>11023858</v>
      </c>
      <c r="J71" s="864">
        <v>619534</v>
      </c>
      <c r="K71" s="864"/>
      <c r="L71" s="864"/>
      <c r="M71" s="864">
        <v>10404324</v>
      </c>
      <c r="N71" s="864"/>
      <c r="O71" s="864"/>
      <c r="P71" s="864"/>
      <c r="Q71" s="864"/>
      <c r="R71" s="864">
        <v>9530270</v>
      </c>
      <c r="S71" s="883">
        <f t="shared" si="36"/>
        <v>19934594</v>
      </c>
      <c r="T71" s="869">
        <f t="shared" si="28"/>
        <v>5.6199381378098305</v>
      </c>
      <c r="U71" s="850">
        <f t="shared" si="8"/>
        <v>0.536333042199601</v>
      </c>
      <c r="V71" s="493"/>
      <c r="W71" s="502">
        <f t="shared" si="21"/>
        <v>0</v>
      </c>
      <c r="X71" s="425">
        <f t="shared" si="29"/>
        <v>19934594</v>
      </c>
      <c r="Y71" s="425" t="str">
        <f t="shared" si="30"/>
        <v>Đ</v>
      </c>
      <c r="Z71" s="461">
        <f t="shared" si="31"/>
        <v>10404324</v>
      </c>
      <c r="AA71" s="461">
        <v>4848611</v>
      </c>
      <c r="AB71" s="462">
        <f t="shared" si="9"/>
        <v>114.58359930297564</v>
      </c>
      <c r="AC71" s="461">
        <f t="shared" si="10"/>
        <v>5555713</v>
      </c>
    </row>
    <row r="72" spans="1:29" ht="19.5" customHeight="1">
      <c r="A72" s="851" t="s">
        <v>446</v>
      </c>
      <c r="B72" s="866" t="s">
        <v>445</v>
      </c>
      <c r="C72" s="853">
        <f t="shared" si="32"/>
        <v>13122205</v>
      </c>
      <c r="D72" s="864">
        <v>12197590</v>
      </c>
      <c r="E72" s="864">
        <v>924615</v>
      </c>
      <c r="F72" s="864"/>
      <c r="G72" s="865"/>
      <c r="H72" s="853">
        <f t="shared" si="25"/>
        <v>13122205</v>
      </c>
      <c r="I72" s="853">
        <f t="shared" si="35"/>
        <v>1413240</v>
      </c>
      <c r="J72" s="864">
        <v>78837</v>
      </c>
      <c r="K72" s="864">
        <v>3172</v>
      </c>
      <c r="L72" s="864"/>
      <c r="M72" s="864">
        <v>1331231</v>
      </c>
      <c r="N72" s="864"/>
      <c r="O72" s="864"/>
      <c r="P72" s="864"/>
      <c r="Q72" s="864"/>
      <c r="R72" s="864">
        <v>11708965</v>
      </c>
      <c r="S72" s="883">
        <f t="shared" si="36"/>
        <v>13040196</v>
      </c>
      <c r="T72" s="869">
        <f t="shared" si="28"/>
        <v>5.8029067957317935</v>
      </c>
      <c r="U72" s="850">
        <f t="shared" si="8"/>
        <v>0.10769836319429547</v>
      </c>
      <c r="V72" s="493"/>
      <c r="W72" s="502">
        <f t="shared" si="21"/>
        <v>0</v>
      </c>
      <c r="X72" s="425">
        <f t="shared" si="29"/>
        <v>13040196</v>
      </c>
      <c r="Y72" s="425" t="str">
        <f t="shared" si="30"/>
        <v>Đ</v>
      </c>
      <c r="Z72" s="461"/>
      <c r="AA72" s="461"/>
      <c r="AB72" s="462"/>
      <c r="AC72" s="461"/>
    </row>
    <row r="73" spans="1:29" ht="19.5" customHeight="1">
      <c r="A73" s="851" t="s">
        <v>444</v>
      </c>
      <c r="B73" s="863" t="s">
        <v>537</v>
      </c>
      <c r="C73" s="853">
        <f t="shared" si="32"/>
        <v>40555429</v>
      </c>
      <c r="D73" s="867">
        <v>31825466</v>
      </c>
      <c r="E73" s="867">
        <v>8729963</v>
      </c>
      <c r="F73" s="867">
        <v>575</v>
      </c>
      <c r="G73" s="865"/>
      <c r="H73" s="853">
        <f t="shared" si="25"/>
        <v>40554854</v>
      </c>
      <c r="I73" s="853">
        <f t="shared" si="35"/>
        <v>39866817</v>
      </c>
      <c r="J73" s="867">
        <v>2951797</v>
      </c>
      <c r="K73" s="867"/>
      <c r="L73" s="867"/>
      <c r="M73" s="867">
        <v>36915020</v>
      </c>
      <c r="N73" s="867"/>
      <c r="O73" s="867"/>
      <c r="P73" s="867"/>
      <c r="Q73" s="867"/>
      <c r="R73" s="867">
        <v>688037</v>
      </c>
      <c r="S73" s="883">
        <f t="shared" si="36"/>
        <v>37603057</v>
      </c>
      <c r="T73" s="869">
        <f t="shared" si="28"/>
        <v>7.404145156609819</v>
      </c>
      <c r="U73" s="850">
        <f t="shared" si="8"/>
        <v>0.9830344106281335</v>
      </c>
      <c r="V73" s="493"/>
      <c r="W73" s="502">
        <f t="shared" si="21"/>
        <v>0</v>
      </c>
      <c r="X73" s="425">
        <f t="shared" si="29"/>
        <v>37603057</v>
      </c>
      <c r="Y73" s="425" t="str">
        <f t="shared" si="30"/>
        <v>Đ</v>
      </c>
      <c r="Z73" s="461">
        <f t="shared" si="31"/>
        <v>36915020</v>
      </c>
      <c r="AA73" s="461">
        <v>19385226</v>
      </c>
      <c r="AB73" s="462">
        <f t="shared" si="9"/>
        <v>90.42862848232978</v>
      </c>
      <c r="AC73" s="461">
        <f t="shared" si="10"/>
        <v>17529794</v>
      </c>
    </row>
    <row r="74" spans="1:29" ht="19.5" customHeight="1">
      <c r="A74" s="851" t="s">
        <v>538</v>
      </c>
      <c r="B74" s="863" t="s">
        <v>539</v>
      </c>
      <c r="C74" s="853">
        <f t="shared" si="32"/>
        <v>8656517</v>
      </c>
      <c r="D74" s="864">
        <v>8031482</v>
      </c>
      <c r="E74" s="864">
        <v>625035</v>
      </c>
      <c r="F74" s="864"/>
      <c r="G74" s="865"/>
      <c r="H74" s="853">
        <f t="shared" si="25"/>
        <v>8656517</v>
      </c>
      <c r="I74" s="853">
        <f t="shared" si="35"/>
        <v>7153618</v>
      </c>
      <c r="J74" s="864">
        <v>345699</v>
      </c>
      <c r="K74" s="864">
        <v>4580</v>
      </c>
      <c r="L74" s="864"/>
      <c r="M74" s="864">
        <v>6770489</v>
      </c>
      <c r="N74" s="864"/>
      <c r="O74" s="864">
        <v>32850</v>
      </c>
      <c r="P74" s="864"/>
      <c r="Q74" s="864"/>
      <c r="R74" s="864">
        <v>1502899</v>
      </c>
      <c r="S74" s="883">
        <f t="shared" si="36"/>
        <v>8306238</v>
      </c>
      <c r="T74" s="869">
        <f t="shared" si="28"/>
        <v>4.896529280708028</v>
      </c>
      <c r="U74" s="850">
        <f t="shared" si="8"/>
        <v>0.8263852540230673</v>
      </c>
      <c r="V74" s="493"/>
      <c r="W74" s="502">
        <f t="shared" si="21"/>
        <v>0</v>
      </c>
      <c r="X74" s="425">
        <f t="shared" si="29"/>
        <v>8306238</v>
      </c>
      <c r="Y74" s="425" t="str">
        <f t="shared" si="30"/>
        <v>Đ</v>
      </c>
      <c r="Z74" s="461">
        <f t="shared" si="31"/>
        <v>6803339</v>
      </c>
      <c r="AA74" s="461">
        <v>5924953</v>
      </c>
      <c r="AB74" s="462">
        <f t="shared" si="9"/>
        <v>14.825197769501294</v>
      </c>
      <c r="AC74" s="461">
        <f t="shared" si="10"/>
        <v>878386</v>
      </c>
    </row>
    <row r="75" spans="1:29" ht="19.5" customHeight="1">
      <c r="A75" s="851" t="s">
        <v>63</v>
      </c>
      <c r="B75" s="852" t="s">
        <v>443</v>
      </c>
      <c r="C75" s="853">
        <f t="shared" si="32"/>
        <v>63145325</v>
      </c>
      <c r="D75" s="853">
        <f>SUM(D76:D80)</f>
        <v>48061207</v>
      </c>
      <c r="E75" s="853">
        <f>SUM(E76:E80)</f>
        <v>15084118</v>
      </c>
      <c r="F75" s="853">
        <f>SUM(F76:F80)</f>
        <v>0</v>
      </c>
      <c r="G75" s="853">
        <f>SUM(G76:G80)</f>
        <v>0</v>
      </c>
      <c r="H75" s="853">
        <f t="shared" si="25"/>
        <v>63145325</v>
      </c>
      <c r="I75" s="853">
        <f t="shared" si="35"/>
        <v>32743052</v>
      </c>
      <c r="J75" s="853">
        <f>SUM(J76:J80)</f>
        <v>2920007</v>
      </c>
      <c r="K75" s="853">
        <f>SUM(K76:K80)</f>
        <v>2285902</v>
      </c>
      <c r="L75" s="853">
        <f>SUM(L76:L80)</f>
        <v>0</v>
      </c>
      <c r="M75" s="853">
        <f aca="true" t="shared" si="39" ref="M75:R75">SUM(M76:M80)</f>
        <v>27249445</v>
      </c>
      <c r="N75" s="853">
        <f t="shared" si="39"/>
        <v>287698</v>
      </c>
      <c r="O75" s="853">
        <f t="shared" si="39"/>
        <v>0</v>
      </c>
      <c r="P75" s="853">
        <f t="shared" si="39"/>
        <v>0</v>
      </c>
      <c r="Q75" s="853">
        <f t="shared" si="39"/>
        <v>0</v>
      </c>
      <c r="R75" s="853">
        <f t="shared" si="39"/>
        <v>30402273</v>
      </c>
      <c r="S75" s="883">
        <f t="shared" si="36"/>
        <v>57939416</v>
      </c>
      <c r="T75" s="869">
        <f t="shared" si="28"/>
        <v>15.899278417906798</v>
      </c>
      <c r="U75" s="850">
        <f t="shared" si="8"/>
        <v>0.5185348559058014</v>
      </c>
      <c r="V75" s="469">
        <f>SUM(V76:V80)</f>
        <v>0</v>
      </c>
      <c r="W75" s="502">
        <f t="shared" si="21"/>
        <v>0</v>
      </c>
      <c r="X75" s="425">
        <f t="shared" si="29"/>
        <v>57939416</v>
      </c>
      <c r="Y75" s="425" t="str">
        <f t="shared" si="30"/>
        <v>Đ</v>
      </c>
      <c r="Z75" s="460">
        <f t="shared" si="31"/>
        <v>27537143</v>
      </c>
      <c r="AA75" s="460">
        <f>+AA76+AA77+AA79+AA80</f>
        <v>8192858</v>
      </c>
      <c r="AB75" s="462">
        <f t="shared" si="9"/>
        <v>236.1115620458697</v>
      </c>
      <c r="AC75" s="461">
        <f t="shared" si="10"/>
        <v>19344285</v>
      </c>
    </row>
    <row r="76" spans="1:29" ht="19.5" customHeight="1">
      <c r="A76" s="851" t="s">
        <v>442</v>
      </c>
      <c r="B76" s="852" t="s">
        <v>441</v>
      </c>
      <c r="C76" s="853">
        <f t="shared" si="32"/>
        <v>2842167</v>
      </c>
      <c r="D76" s="861">
        <v>2660028</v>
      </c>
      <c r="E76" s="861">
        <v>182139</v>
      </c>
      <c r="F76" s="861"/>
      <c r="G76" s="853"/>
      <c r="H76" s="853">
        <f t="shared" si="25"/>
        <v>2842167</v>
      </c>
      <c r="I76" s="853">
        <f t="shared" si="35"/>
        <v>699958</v>
      </c>
      <c r="J76" s="861">
        <v>89697</v>
      </c>
      <c r="K76" s="861">
        <v>8000</v>
      </c>
      <c r="L76" s="861"/>
      <c r="M76" s="861">
        <v>602261</v>
      </c>
      <c r="N76" s="861"/>
      <c r="O76" s="861"/>
      <c r="P76" s="861"/>
      <c r="Q76" s="861"/>
      <c r="R76" s="890">
        <v>2142209</v>
      </c>
      <c r="S76" s="883">
        <f t="shared" si="36"/>
        <v>2744470</v>
      </c>
      <c r="T76" s="869">
        <f t="shared" si="28"/>
        <v>13.957551738818616</v>
      </c>
      <c r="U76" s="850">
        <f t="shared" si="8"/>
        <v>0.24627616885285067</v>
      </c>
      <c r="V76" s="481"/>
      <c r="W76" s="502">
        <f t="shared" si="21"/>
        <v>0</v>
      </c>
      <c r="X76" s="425">
        <f t="shared" si="29"/>
        <v>2744470</v>
      </c>
      <c r="Y76" s="425" t="str">
        <f t="shared" si="30"/>
        <v>Đ</v>
      </c>
      <c r="Z76" s="461">
        <f t="shared" si="31"/>
        <v>602261</v>
      </c>
      <c r="AA76" s="461">
        <v>380833</v>
      </c>
      <c r="AB76" s="462">
        <f t="shared" si="9"/>
        <v>58.14307058474449</v>
      </c>
      <c r="AC76" s="461">
        <f t="shared" si="10"/>
        <v>221428</v>
      </c>
    </row>
    <row r="77" spans="1:29" ht="19.5" customHeight="1">
      <c r="A77" s="851" t="s">
        <v>440</v>
      </c>
      <c r="B77" s="852" t="s">
        <v>439</v>
      </c>
      <c r="C77" s="853">
        <f t="shared" si="32"/>
        <v>23462767</v>
      </c>
      <c r="D77" s="861">
        <v>14617507</v>
      </c>
      <c r="E77" s="861">
        <v>8845260</v>
      </c>
      <c r="F77" s="861"/>
      <c r="G77" s="853"/>
      <c r="H77" s="853">
        <f t="shared" si="25"/>
        <v>23462767</v>
      </c>
      <c r="I77" s="853">
        <f t="shared" si="35"/>
        <v>13051319</v>
      </c>
      <c r="J77" s="861">
        <v>780808</v>
      </c>
      <c r="K77" s="861">
        <v>327000</v>
      </c>
      <c r="L77" s="861"/>
      <c r="M77" s="861">
        <v>11655813</v>
      </c>
      <c r="N77" s="861">
        <v>287698</v>
      </c>
      <c r="O77" s="861"/>
      <c r="P77" s="861"/>
      <c r="Q77" s="861"/>
      <c r="R77" s="890">
        <v>10411448</v>
      </c>
      <c r="S77" s="883">
        <f t="shared" si="36"/>
        <v>22354959</v>
      </c>
      <c r="T77" s="869">
        <f t="shared" si="28"/>
        <v>8.48809227634387</v>
      </c>
      <c r="U77" s="850">
        <f t="shared" si="8"/>
        <v>0.5562566000847214</v>
      </c>
      <c r="V77" s="481"/>
      <c r="W77" s="502">
        <f t="shared" si="21"/>
        <v>0</v>
      </c>
      <c r="X77" s="425">
        <f t="shared" si="29"/>
        <v>22354959</v>
      </c>
      <c r="Y77" s="425" t="str">
        <f t="shared" si="30"/>
        <v>Đ</v>
      </c>
      <c r="Z77" s="461">
        <f t="shared" si="31"/>
        <v>11943511</v>
      </c>
      <c r="AA77" s="461">
        <v>1478545</v>
      </c>
      <c r="AB77" s="462">
        <f t="shared" si="9"/>
        <v>707.788129546277</v>
      </c>
      <c r="AC77" s="461">
        <f t="shared" si="10"/>
        <v>10464966</v>
      </c>
    </row>
    <row r="78" spans="1:29" ht="19.5" customHeight="1">
      <c r="A78" s="851" t="s">
        <v>438</v>
      </c>
      <c r="B78" s="852" t="s">
        <v>541</v>
      </c>
      <c r="C78" s="853">
        <f t="shared" si="32"/>
        <v>9172036</v>
      </c>
      <c r="D78" s="861">
        <v>7350275</v>
      </c>
      <c r="E78" s="861">
        <v>1821761</v>
      </c>
      <c r="F78" s="861"/>
      <c r="G78" s="853"/>
      <c r="H78" s="853">
        <f t="shared" si="25"/>
        <v>9172036</v>
      </c>
      <c r="I78" s="853">
        <f t="shared" si="35"/>
        <v>6348955</v>
      </c>
      <c r="J78" s="861">
        <v>1300814</v>
      </c>
      <c r="K78" s="861">
        <v>10000</v>
      </c>
      <c r="L78" s="861"/>
      <c r="M78" s="861">
        <v>5038141</v>
      </c>
      <c r="N78" s="861"/>
      <c r="O78" s="861"/>
      <c r="P78" s="861"/>
      <c r="Q78" s="861"/>
      <c r="R78" s="890">
        <v>2823081</v>
      </c>
      <c r="S78" s="883">
        <f t="shared" si="36"/>
        <v>7861222</v>
      </c>
      <c r="T78" s="869">
        <f t="shared" si="28"/>
        <v>20.646137828981303</v>
      </c>
      <c r="U78" s="850">
        <f t="shared" si="8"/>
        <v>0.6922078151459502</v>
      </c>
      <c r="V78" s="481"/>
      <c r="W78" s="502">
        <f t="shared" si="21"/>
        <v>0</v>
      </c>
      <c r="X78" s="425">
        <f t="shared" si="29"/>
        <v>7861222</v>
      </c>
      <c r="Y78" s="425" t="str">
        <f t="shared" si="30"/>
        <v>Đ</v>
      </c>
      <c r="Z78" s="461"/>
      <c r="AA78" s="461"/>
      <c r="AB78" s="462"/>
      <c r="AC78" s="461"/>
    </row>
    <row r="79" spans="1:29" ht="19.5" customHeight="1">
      <c r="A79" s="851" t="s">
        <v>437</v>
      </c>
      <c r="B79" s="852" t="s">
        <v>436</v>
      </c>
      <c r="C79" s="853">
        <f t="shared" si="32"/>
        <v>20264908</v>
      </c>
      <c r="D79" s="855">
        <v>17257479</v>
      </c>
      <c r="E79" s="853">
        <v>3007429</v>
      </c>
      <c r="F79" s="861"/>
      <c r="G79" s="853"/>
      <c r="H79" s="853">
        <f t="shared" si="25"/>
        <v>20264908</v>
      </c>
      <c r="I79" s="853">
        <f t="shared" si="35"/>
        <v>7080950</v>
      </c>
      <c r="J79" s="861">
        <v>531107</v>
      </c>
      <c r="K79" s="853">
        <v>1036665</v>
      </c>
      <c r="L79" s="853"/>
      <c r="M79" s="853">
        <v>5513178</v>
      </c>
      <c r="N79" s="853"/>
      <c r="O79" s="853"/>
      <c r="P79" s="853"/>
      <c r="Q79" s="853"/>
      <c r="R79" s="853">
        <v>13183958</v>
      </c>
      <c r="S79" s="883">
        <f t="shared" si="36"/>
        <v>18697136</v>
      </c>
      <c r="T79" s="869">
        <f t="shared" si="28"/>
        <v>22.14070145954992</v>
      </c>
      <c r="U79" s="850">
        <f t="shared" si="8"/>
        <v>0.349419301582815</v>
      </c>
      <c r="V79" s="481"/>
      <c r="W79" s="502">
        <f t="shared" si="21"/>
        <v>0</v>
      </c>
      <c r="X79" s="425">
        <f t="shared" si="29"/>
        <v>18697136</v>
      </c>
      <c r="Y79" s="425" t="str">
        <f t="shared" si="30"/>
        <v>Đ</v>
      </c>
      <c r="Z79" s="461">
        <f t="shared" si="31"/>
        <v>5513178</v>
      </c>
      <c r="AA79" s="461">
        <v>2577813</v>
      </c>
      <c r="AB79" s="462">
        <f t="shared" si="9"/>
        <v>113.87036220237854</v>
      </c>
      <c r="AC79" s="461">
        <f t="shared" si="10"/>
        <v>2935365</v>
      </c>
    </row>
    <row r="80" spans="1:29" ht="19.5" customHeight="1">
      <c r="A80" s="851" t="s">
        <v>540</v>
      </c>
      <c r="B80" s="868" t="s">
        <v>518</v>
      </c>
      <c r="C80" s="853">
        <f t="shared" si="32"/>
        <v>7403447</v>
      </c>
      <c r="D80" s="861">
        <v>6175918</v>
      </c>
      <c r="E80" s="861">
        <v>1227529</v>
      </c>
      <c r="F80" s="861"/>
      <c r="G80" s="853"/>
      <c r="H80" s="853">
        <f t="shared" si="25"/>
        <v>7403447</v>
      </c>
      <c r="I80" s="853">
        <f t="shared" si="35"/>
        <v>5561870</v>
      </c>
      <c r="J80" s="861">
        <v>217581</v>
      </c>
      <c r="K80" s="861">
        <v>904237</v>
      </c>
      <c r="L80" s="861"/>
      <c r="M80" s="861">
        <v>4440052</v>
      </c>
      <c r="N80" s="861"/>
      <c r="O80" s="861"/>
      <c r="P80" s="861"/>
      <c r="Q80" s="861"/>
      <c r="R80" s="890">
        <v>1841577</v>
      </c>
      <c r="S80" s="883">
        <f t="shared" si="36"/>
        <v>6281629</v>
      </c>
      <c r="T80" s="869">
        <f t="shared" si="28"/>
        <v>20.16979900644927</v>
      </c>
      <c r="U80" s="850">
        <f t="shared" si="8"/>
        <v>0.7512541117671269</v>
      </c>
      <c r="V80" s="481"/>
      <c r="W80" s="502">
        <f t="shared" si="21"/>
        <v>0</v>
      </c>
      <c r="X80" s="425">
        <f t="shared" si="29"/>
        <v>6281629</v>
      </c>
      <c r="Y80" s="425" t="str">
        <f t="shared" si="30"/>
        <v>Đ</v>
      </c>
      <c r="Z80" s="461">
        <f t="shared" si="31"/>
        <v>4440052</v>
      </c>
      <c r="AA80" s="461">
        <v>3755667</v>
      </c>
      <c r="AB80" s="462">
        <f t="shared" si="9"/>
        <v>18.222728479388614</v>
      </c>
      <c r="AC80" s="461">
        <f t="shared" si="10"/>
        <v>684385</v>
      </c>
    </row>
    <row r="81" spans="1:22" s="379" customFormat="1" ht="29.25" customHeight="1">
      <c r="A81" s="827"/>
      <c r="B81" s="827"/>
      <c r="C81" s="827"/>
      <c r="D81" s="827"/>
      <c r="E81" s="827"/>
      <c r="F81" s="415"/>
      <c r="G81" s="390"/>
      <c r="H81" s="451"/>
      <c r="I81" s="390"/>
      <c r="J81" s="390"/>
      <c r="K81" s="446"/>
      <c r="L81" s="390"/>
      <c r="M81" s="448"/>
      <c r="N81" s="390"/>
      <c r="O81" s="825" t="str">
        <f>'Thong tin'!B8</f>
        <v>Trà Vinh, ngày 01 tháng 02 năm 2019</v>
      </c>
      <c r="P81" s="825"/>
      <c r="Q81" s="825"/>
      <c r="R81" s="825"/>
      <c r="S81" s="825"/>
      <c r="T81" s="825"/>
      <c r="U81" s="430"/>
      <c r="V81" s="430"/>
    </row>
    <row r="82" spans="1:22" s="408" customFormat="1" ht="19.5" customHeight="1">
      <c r="A82" s="398"/>
      <c r="B82" s="826" t="s">
        <v>4</v>
      </c>
      <c r="C82" s="826"/>
      <c r="D82" s="826"/>
      <c r="E82" s="826"/>
      <c r="F82" s="397"/>
      <c r="G82" s="397"/>
      <c r="H82" s="397"/>
      <c r="I82" s="397"/>
      <c r="J82" s="397"/>
      <c r="K82" s="397"/>
      <c r="L82" s="397"/>
      <c r="M82" s="397"/>
      <c r="N82" s="397"/>
      <c r="O82" s="823" t="str">
        <f>'Thong tin'!B7</f>
        <v>PHÓ CỤC TRƯỞNG PHỤ TRÁCH</v>
      </c>
      <c r="P82" s="823"/>
      <c r="Q82" s="823"/>
      <c r="R82" s="823"/>
      <c r="S82" s="823"/>
      <c r="T82" s="823"/>
      <c r="U82" s="429"/>
      <c r="V82" s="429"/>
    </row>
    <row r="83" spans="1:23" ht="18.75">
      <c r="A83" s="387"/>
      <c r="B83" s="389"/>
      <c r="C83" s="417"/>
      <c r="D83" s="417"/>
      <c r="E83" s="419"/>
      <c r="F83" s="419"/>
      <c r="G83" s="419"/>
      <c r="H83" s="419"/>
      <c r="I83" s="419"/>
      <c r="J83" s="419"/>
      <c r="K83" s="419"/>
      <c r="L83" s="419"/>
      <c r="M83" s="419"/>
      <c r="N83" s="419"/>
      <c r="O83" s="419"/>
      <c r="P83" s="419"/>
      <c r="Q83" s="419"/>
      <c r="R83" s="419"/>
      <c r="S83" s="419"/>
      <c r="T83" s="421"/>
      <c r="U83" s="421"/>
      <c r="V83" s="491"/>
      <c r="W83" s="423"/>
    </row>
    <row r="84" spans="1:22" ht="18.75">
      <c r="A84" s="387"/>
      <c r="B84" s="387"/>
      <c r="C84" s="422"/>
      <c r="D84" s="422"/>
      <c r="E84" s="422"/>
      <c r="F84" s="422"/>
      <c r="G84" s="422"/>
      <c r="H84" s="422"/>
      <c r="I84" s="422"/>
      <c r="J84" s="422"/>
      <c r="K84" s="422"/>
      <c r="L84" s="422"/>
      <c r="M84" s="422"/>
      <c r="N84" s="422"/>
      <c r="O84" s="422"/>
      <c r="P84" s="422"/>
      <c r="Q84" s="422"/>
      <c r="R84" s="422"/>
      <c r="S84" s="422"/>
      <c r="T84" s="422"/>
      <c r="U84" s="468"/>
      <c r="V84" s="468"/>
    </row>
    <row r="85" spans="1:22" ht="15.75">
      <c r="A85" s="386"/>
      <c r="B85" s="839"/>
      <c r="C85" s="839"/>
      <c r="D85" s="839"/>
      <c r="E85" s="406"/>
      <c r="F85" s="406"/>
      <c r="G85" s="406"/>
      <c r="H85" s="406"/>
      <c r="I85" s="406"/>
      <c r="J85" s="406"/>
      <c r="K85" s="406"/>
      <c r="L85" s="406"/>
      <c r="M85" s="406"/>
      <c r="N85" s="406"/>
      <c r="O85" s="406"/>
      <c r="P85" s="406"/>
      <c r="Q85" s="839"/>
      <c r="R85" s="839"/>
      <c r="S85" s="839"/>
      <c r="T85" s="386"/>
      <c r="U85" s="386"/>
      <c r="V85" s="386"/>
    </row>
    <row r="86" spans="1:22" ht="15.75" customHeight="1">
      <c r="A86" s="407"/>
      <c r="B86" s="386"/>
      <c r="C86" s="449"/>
      <c r="D86" s="449"/>
      <c r="E86" s="449"/>
      <c r="F86" s="449"/>
      <c r="G86" s="452"/>
      <c r="H86" s="449"/>
      <c r="I86" s="449"/>
      <c r="J86" s="449"/>
      <c r="K86" s="449"/>
      <c r="L86" s="449"/>
      <c r="M86" s="449"/>
      <c r="N86" s="449"/>
      <c r="O86" s="406"/>
      <c r="P86" s="406"/>
      <c r="Q86" s="406"/>
      <c r="R86" s="426"/>
      <c r="S86" s="386"/>
      <c r="T86" s="386"/>
      <c r="U86" s="386"/>
      <c r="V86" s="386"/>
    </row>
    <row r="87" spans="1:22" ht="15.75" customHeight="1">
      <c r="A87" s="386"/>
      <c r="B87" s="510"/>
      <c r="C87" s="510"/>
      <c r="D87" s="510"/>
      <c r="E87" s="510"/>
      <c r="F87" s="510"/>
      <c r="G87" s="510"/>
      <c r="H87" s="510"/>
      <c r="I87" s="510"/>
      <c r="J87" s="510"/>
      <c r="K87" s="510"/>
      <c r="L87" s="510"/>
      <c r="M87" s="510"/>
      <c r="N87" s="510"/>
      <c r="O87" s="510"/>
      <c r="P87" s="510"/>
      <c r="Q87" s="406"/>
      <c r="R87" s="406"/>
      <c r="S87" s="386"/>
      <c r="T87" s="386"/>
      <c r="U87" s="386"/>
      <c r="V87" s="386"/>
    </row>
    <row r="88" spans="1:22" ht="15.75">
      <c r="A88" s="405"/>
      <c r="B88" s="405"/>
      <c r="C88" s="405"/>
      <c r="D88" s="405"/>
      <c r="E88" s="405"/>
      <c r="F88" s="405"/>
      <c r="G88" s="405"/>
      <c r="H88" s="405"/>
      <c r="I88" s="405"/>
      <c r="J88" s="405"/>
      <c r="K88" s="405"/>
      <c r="L88" s="405"/>
      <c r="M88" s="405"/>
      <c r="N88" s="405"/>
      <c r="O88" s="405"/>
      <c r="P88" s="405"/>
      <c r="Q88" s="405"/>
      <c r="R88" s="386"/>
      <c r="S88" s="386"/>
      <c r="T88" s="386"/>
      <c r="U88" s="386"/>
      <c r="V88" s="386"/>
    </row>
    <row r="89" spans="1:22" ht="18.75">
      <c r="A89" s="386"/>
      <c r="B89" s="822" t="str">
        <f>'Thong tin'!B5</f>
        <v>Nhan Quốc Hải</v>
      </c>
      <c r="C89" s="822"/>
      <c r="D89" s="822"/>
      <c r="E89" s="822"/>
      <c r="F89" s="386"/>
      <c r="G89" s="386"/>
      <c r="H89" s="386"/>
      <c r="I89" s="386"/>
      <c r="J89" s="386"/>
      <c r="K89" s="386"/>
      <c r="L89" s="386"/>
      <c r="M89" s="386"/>
      <c r="N89" s="386"/>
      <c r="O89" s="822" t="str">
        <f>'Thong tin'!B6</f>
        <v>Trần Việt Hồng</v>
      </c>
      <c r="P89" s="822"/>
      <c r="Q89" s="822"/>
      <c r="R89" s="822"/>
      <c r="S89" s="822"/>
      <c r="T89" s="822"/>
      <c r="U89" s="428"/>
      <c r="V89" s="428"/>
    </row>
    <row r="90" spans="2:22" ht="18.75">
      <c r="B90" s="847"/>
      <c r="C90" s="847"/>
      <c r="D90" s="847"/>
      <c r="E90" s="847"/>
      <c r="P90" s="847"/>
      <c r="Q90" s="847"/>
      <c r="R90" s="847"/>
      <c r="S90" s="847"/>
      <c r="T90" s="848"/>
      <c r="U90" s="467"/>
      <c r="V90" s="467"/>
    </row>
  </sheetData>
  <sheetProtection/>
  <mergeCells count="37">
    <mergeCell ref="U7:U9"/>
    <mergeCell ref="B90:E90"/>
    <mergeCell ref="P90:T90"/>
    <mergeCell ref="B89:E89"/>
    <mergeCell ref="A11:B11"/>
    <mergeCell ref="O89:T89"/>
    <mergeCell ref="Q85:S85"/>
    <mergeCell ref="B82:E82"/>
    <mergeCell ref="A2:D2"/>
    <mergeCell ref="Q2:T2"/>
    <mergeCell ref="Q4:T4"/>
    <mergeCell ref="O82:T82"/>
    <mergeCell ref="T6:T9"/>
    <mergeCell ref="I7:Q7"/>
    <mergeCell ref="O81:T81"/>
    <mergeCell ref="S6:S9"/>
    <mergeCell ref="A3:D3"/>
    <mergeCell ref="A81:E81"/>
    <mergeCell ref="Q5:T5"/>
    <mergeCell ref="D7:E7"/>
    <mergeCell ref="D8:D9"/>
    <mergeCell ref="E8:E9"/>
    <mergeCell ref="E1:P1"/>
    <mergeCell ref="E2:P2"/>
    <mergeCell ref="E3:P3"/>
    <mergeCell ref="F6:F9"/>
    <mergeCell ref="G6:G9"/>
    <mergeCell ref="H6:R6"/>
    <mergeCell ref="R7:R9"/>
    <mergeCell ref="I8:I9"/>
    <mergeCell ref="J8:Q8"/>
    <mergeCell ref="H7:H9"/>
    <mergeCell ref="A6:B9"/>
    <mergeCell ref="B85:D85"/>
    <mergeCell ref="C6:E6"/>
    <mergeCell ref="C7:C9"/>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71" t="s">
        <v>29</v>
      </c>
      <c r="B1" s="571"/>
      <c r="C1" s="571"/>
      <c r="D1" s="571"/>
      <c r="E1" s="570" t="s">
        <v>375</v>
      </c>
      <c r="F1" s="570"/>
      <c r="G1" s="570"/>
      <c r="H1" s="570"/>
      <c r="I1" s="570"/>
      <c r="J1" s="570"/>
      <c r="K1" s="570"/>
      <c r="L1" s="31" t="s">
        <v>351</v>
      </c>
      <c r="M1" s="31"/>
      <c r="N1" s="31"/>
      <c r="O1" s="32"/>
      <c r="P1" s="32"/>
    </row>
    <row r="2" spans="1:16" ht="15.75" customHeight="1">
      <c r="A2" s="557" t="s">
        <v>245</v>
      </c>
      <c r="B2" s="557"/>
      <c r="C2" s="557"/>
      <c r="D2" s="557"/>
      <c r="E2" s="570"/>
      <c r="F2" s="570"/>
      <c r="G2" s="570"/>
      <c r="H2" s="570"/>
      <c r="I2" s="570"/>
      <c r="J2" s="570"/>
      <c r="K2" s="570"/>
      <c r="L2" s="565" t="s">
        <v>254</v>
      </c>
      <c r="M2" s="565"/>
      <c r="N2" s="565"/>
      <c r="O2" s="35"/>
      <c r="P2" s="32"/>
    </row>
    <row r="3" spans="1:16" ht="18" customHeight="1">
      <c r="A3" s="557" t="s">
        <v>246</v>
      </c>
      <c r="B3" s="557"/>
      <c r="C3" s="557"/>
      <c r="D3" s="557"/>
      <c r="E3" s="558" t="s">
        <v>371</v>
      </c>
      <c r="F3" s="558"/>
      <c r="G3" s="558"/>
      <c r="H3" s="558"/>
      <c r="I3" s="558"/>
      <c r="J3" s="558"/>
      <c r="K3" s="36"/>
      <c r="L3" s="566" t="s">
        <v>370</v>
      </c>
      <c r="M3" s="566"/>
      <c r="N3" s="566"/>
      <c r="O3" s="32"/>
      <c r="P3" s="32"/>
    </row>
    <row r="4" spans="1:16" ht="21" customHeight="1">
      <c r="A4" s="569" t="s">
        <v>257</v>
      </c>
      <c r="B4" s="569"/>
      <c r="C4" s="569"/>
      <c r="D4" s="569"/>
      <c r="E4" s="39"/>
      <c r="F4" s="40"/>
      <c r="G4" s="41"/>
      <c r="H4" s="41"/>
      <c r="I4" s="41"/>
      <c r="J4" s="41"/>
      <c r="K4" s="32"/>
      <c r="L4" s="565" t="s">
        <v>252</v>
      </c>
      <c r="M4" s="565"/>
      <c r="N4" s="565"/>
      <c r="O4" s="35"/>
      <c r="P4" s="32"/>
    </row>
    <row r="5" spans="1:16" ht="18" customHeight="1">
      <c r="A5" s="41"/>
      <c r="B5" s="32"/>
      <c r="C5" s="42"/>
      <c r="D5" s="567"/>
      <c r="E5" s="567"/>
      <c r="F5" s="567"/>
      <c r="G5" s="567"/>
      <c r="H5" s="567"/>
      <c r="I5" s="567"/>
      <c r="J5" s="567"/>
      <c r="K5" s="567"/>
      <c r="L5" s="43" t="s">
        <v>258</v>
      </c>
      <c r="M5" s="43"/>
      <c r="N5" s="43"/>
      <c r="O5" s="32"/>
      <c r="P5" s="32"/>
    </row>
    <row r="6" spans="1:18" ht="33" customHeight="1">
      <c r="A6" s="575" t="s">
        <v>57</v>
      </c>
      <c r="B6" s="576"/>
      <c r="C6" s="568" t="s">
        <v>259</v>
      </c>
      <c r="D6" s="568"/>
      <c r="E6" s="568"/>
      <c r="F6" s="568"/>
      <c r="G6" s="544" t="s">
        <v>7</v>
      </c>
      <c r="H6" s="545"/>
      <c r="I6" s="545"/>
      <c r="J6" s="545"/>
      <c r="K6" s="545"/>
      <c r="L6" s="545"/>
      <c r="M6" s="545"/>
      <c r="N6" s="546"/>
      <c r="O6" s="549" t="s">
        <v>260</v>
      </c>
      <c r="P6" s="550"/>
      <c r="Q6" s="550"/>
      <c r="R6" s="551"/>
    </row>
    <row r="7" spans="1:18" ht="29.25" customHeight="1">
      <c r="A7" s="577"/>
      <c r="B7" s="578"/>
      <c r="C7" s="568"/>
      <c r="D7" s="568"/>
      <c r="E7" s="568"/>
      <c r="F7" s="568"/>
      <c r="G7" s="544" t="s">
        <v>261</v>
      </c>
      <c r="H7" s="545"/>
      <c r="I7" s="545"/>
      <c r="J7" s="546"/>
      <c r="K7" s="544" t="s">
        <v>92</v>
      </c>
      <c r="L7" s="545"/>
      <c r="M7" s="545"/>
      <c r="N7" s="546"/>
      <c r="O7" s="45" t="s">
        <v>262</v>
      </c>
      <c r="P7" s="45" t="s">
        <v>263</v>
      </c>
      <c r="Q7" s="552" t="s">
        <v>264</v>
      </c>
      <c r="R7" s="552" t="s">
        <v>265</v>
      </c>
    </row>
    <row r="8" spans="1:18" ht="26.25" customHeight="1">
      <c r="A8" s="577"/>
      <c r="B8" s="578"/>
      <c r="C8" s="547" t="s">
        <v>89</v>
      </c>
      <c r="D8" s="574"/>
      <c r="E8" s="547" t="s">
        <v>88</v>
      </c>
      <c r="F8" s="574"/>
      <c r="G8" s="547" t="s">
        <v>90</v>
      </c>
      <c r="H8" s="548"/>
      <c r="I8" s="547" t="s">
        <v>91</v>
      </c>
      <c r="J8" s="548"/>
      <c r="K8" s="547" t="s">
        <v>93</v>
      </c>
      <c r="L8" s="548"/>
      <c r="M8" s="547" t="s">
        <v>94</v>
      </c>
      <c r="N8" s="548"/>
      <c r="O8" s="554" t="s">
        <v>266</v>
      </c>
      <c r="P8" s="555" t="s">
        <v>267</v>
      </c>
      <c r="Q8" s="552"/>
      <c r="R8" s="552"/>
    </row>
    <row r="9" spans="1:18" ht="30.75" customHeight="1">
      <c r="A9" s="577"/>
      <c r="B9" s="578"/>
      <c r="C9" s="46" t="s">
        <v>3</v>
      </c>
      <c r="D9" s="44" t="s">
        <v>9</v>
      </c>
      <c r="E9" s="44" t="s">
        <v>3</v>
      </c>
      <c r="F9" s="44" t="s">
        <v>9</v>
      </c>
      <c r="G9" s="47" t="s">
        <v>3</v>
      </c>
      <c r="H9" s="47" t="s">
        <v>9</v>
      </c>
      <c r="I9" s="47" t="s">
        <v>3</v>
      </c>
      <c r="J9" s="47" t="s">
        <v>9</v>
      </c>
      <c r="K9" s="47" t="s">
        <v>3</v>
      </c>
      <c r="L9" s="47" t="s">
        <v>9</v>
      </c>
      <c r="M9" s="47" t="s">
        <v>3</v>
      </c>
      <c r="N9" s="47" t="s">
        <v>9</v>
      </c>
      <c r="O9" s="554"/>
      <c r="P9" s="556"/>
      <c r="Q9" s="553"/>
      <c r="R9" s="553"/>
    </row>
    <row r="10" spans="1:18" s="52" customFormat="1" ht="18" customHeight="1">
      <c r="A10" s="561" t="s">
        <v>6</v>
      </c>
      <c r="B10" s="561"/>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563" t="s">
        <v>268</v>
      </c>
      <c r="B11" s="564"/>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81" t="s">
        <v>372</v>
      </c>
      <c r="B12" s="582"/>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79" t="s">
        <v>31</v>
      </c>
      <c r="B13" s="580"/>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269</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270</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271</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272</v>
      </c>
    </row>
    <row r="18" spans="1:18" s="70" customFormat="1" ht="18" customHeight="1">
      <c r="A18" s="66" t="s">
        <v>49</v>
      </c>
      <c r="B18" s="67" t="s">
        <v>273</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274</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275</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276</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277</v>
      </c>
      <c r="AK21" s="52" t="s">
        <v>278</v>
      </c>
      <c r="AL21" s="52" t="s">
        <v>279</v>
      </c>
      <c r="AM21" s="63" t="s">
        <v>280</v>
      </c>
    </row>
    <row r="22" spans="1:39" s="52" customFormat="1" ht="18" customHeight="1">
      <c r="A22" s="66" t="s">
        <v>61</v>
      </c>
      <c r="B22" s="67" t="s">
        <v>281</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282</v>
      </c>
    </row>
    <row r="23" spans="1:18" s="52" customFormat="1" ht="18" customHeight="1">
      <c r="A23" s="66" t="s">
        <v>62</v>
      </c>
      <c r="B23" s="67" t="s">
        <v>283</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284</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277</v>
      </c>
    </row>
    <row r="25" spans="1:36" s="52" customFormat="1" ht="18" customHeight="1">
      <c r="A25" s="66" t="s">
        <v>83</v>
      </c>
      <c r="B25" s="67" t="s">
        <v>285</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286</v>
      </c>
    </row>
    <row r="26" spans="1:44" s="52" customFormat="1" ht="18" customHeight="1">
      <c r="A26" s="66" t="s">
        <v>84</v>
      </c>
      <c r="B26" s="67" t="s">
        <v>287</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62" t="s">
        <v>373</v>
      </c>
      <c r="C28" s="562"/>
      <c r="D28" s="562"/>
      <c r="E28" s="562"/>
      <c r="F28" s="75"/>
      <c r="G28" s="76"/>
      <c r="H28" s="76"/>
      <c r="I28" s="76"/>
      <c r="J28" s="562" t="s">
        <v>374</v>
      </c>
      <c r="K28" s="562"/>
      <c r="L28" s="562"/>
      <c r="M28" s="562"/>
      <c r="N28" s="562"/>
      <c r="O28" s="77"/>
      <c r="P28" s="77"/>
      <c r="AG28" s="78" t="s">
        <v>289</v>
      </c>
      <c r="AI28" s="79">
        <f>82/88</f>
        <v>0.9318181818181818</v>
      </c>
    </row>
    <row r="29" spans="1:16" s="85" customFormat="1" ht="19.5" customHeight="1">
      <c r="A29" s="80"/>
      <c r="B29" s="541" t="s">
        <v>35</v>
      </c>
      <c r="C29" s="541"/>
      <c r="D29" s="541"/>
      <c r="E29" s="541"/>
      <c r="F29" s="82"/>
      <c r="G29" s="83"/>
      <c r="H29" s="83"/>
      <c r="I29" s="83"/>
      <c r="J29" s="541" t="s">
        <v>290</v>
      </c>
      <c r="K29" s="541"/>
      <c r="L29" s="541"/>
      <c r="M29" s="541"/>
      <c r="N29" s="541"/>
      <c r="O29" s="84"/>
      <c r="P29" s="84"/>
    </row>
    <row r="30" spans="1:16" s="85" customFormat="1" ht="19.5" customHeight="1">
      <c r="A30" s="80"/>
      <c r="B30" s="559"/>
      <c r="C30" s="559"/>
      <c r="D30" s="559"/>
      <c r="E30" s="82"/>
      <c r="F30" s="82"/>
      <c r="G30" s="83"/>
      <c r="H30" s="83"/>
      <c r="I30" s="83"/>
      <c r="J30" s="560"/>
      <c r="K30" s="560"/>
      <c r="L30" s="560"/>
      <c r="M30" s="560"/>
      <c r="N30" s="560"/>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543" t="s">
        <v>291</v>
      </c>
      <c r="C32" s="543"/>
      <c r="D32" s="543"/>
      <c r="E32" s="543"/>
      <c r="F32" s="87"/>
      <c r="G32" s="88"/>
      <c r="H32" s="88"/>
      <c r="I32" s="88"/>
      <c r="J32" s="542" t="s">
        <v>291</v>
      </c>
      <c r="K32" s="542"/>
      <c r="L32" s="542"/>
      <c r="M32" s="542"/>
      <c r="N32" s="542"/>
      <c r="O32" s="84"/>
      <c r="P32" s="84"/>
    </row>
    <row r="33" spans="1:16" s="85" customFormat="1" ht="19.5" customHeight="1">
      <c r="A33" s="80"/>
      <c r="B33" s="541" t="s">
        <v>292</v>
      </c>
      <c r="C33" s="541"/>
      <c r="D33" s="541"/>
      <c r="E33" s="541"/>
      <c r="F33" s="82"/>
      <c r="G33" s="83"/>
      <c r="H33" s="83"/>
      <c r="I33" s="83"/>
      <c r="J33" s="81"/>
      <c r="K33" s="541" t="s">
        <v>292</v>
      </c>
      <c r="L33" s="541"/>
      <c r="M33" s="541"/>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72" t="s">
        <v>248</v>
      </c>
      <c r="C36" s="572"/>
      <c r="D36" s="572"/>
      <c r="E36" s="572"/>
      <c r="F36" s="91"/>
      <c r="G36" s="91"/>
      <c r="H36" s="91"/>
      <c r="I36" s="91"/>
      <c r="J36" s="573" t="s">
        <v>249</v>
      </c>
      <c r="K36" s="573"/>
      <c r="L36" s="573"/>
      <c r="M36" s="573"/>
      <c r="N36" s="573"/>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83" t="s">
        <v>26</v>
      </c>
      <c r="B1" s="583"/>
      <c r="C1" s="98"/>
      <c r="D1" s="590" t="s">
        <v>352</v>
      </c>
      <c r="E1" s="590"/>
      <c r="F1" s="590"/>
      <c r="G1" s="590"/>
      <c r="H1" s="590"/>
      <c r="I1" s="590"/>
      <c r="J1" s="590"/>
      <c r="K1" s="590"/>
      <c r="L1" s="590"/>
      <c r="M1" s="608" t="s">
        <v>293</v>
      </c>
      <c r="N1" s="609"/>
      <c r="O1" s="609"/>
      <c r="P1" s="609"/>
    </row>
    <row r="2" spans="1:16" s="42" customFormat="1" ht="34.5" customHeight="1">
      <c r="A2" s="589" t="s">
        <v>294</v>
      </c>
      <c r="B2" s="589"/>
      <c r="C2" s="589"/>
      <c r="D2" s="590"/>
      <c r="E2" s="590"/>
      <c r="F2" s="590"/>
      <c r="G2" s="590"/>
      <c r="H2" s="590"/>
      <c r="I2" s="590"/>
      <c r="J2" s="590"/>
      <c r="K2" s="590"/>
      <c r="L2" s="590"/>
      <c r="M2" s="610" t="s">
        <v>353</v>
      </c>
      <c r="N2" s="611"/>
      <c r="O2" s="611"/>
      <c r="P2" s="611"/>
    </row>
    <row r="3" spans="1:16" s="42" customFormat="1" ht="19.5" customHeight="1">
      <c r="A3" s="588" t="s">
        <v>295</v>
      </c>
      <c r="B3" s="588"/>
      <c r="C3" s="588"/>
      <c r="D3" s="590"/>
      <c r="E3" s="590"/>
      <c r="F3" s="590"/>
      <c r="G3" s="590"/>
      <c r="H3" s="590"/>
      <c r="I3" s="590"/>
      <c r="J3" s="590"/>
      <c r="K3" s="590"/>
      <c r="L3" s="590"/>
      <c r="M3" s="610" t="s">
        <v>296</v>
      </c>
      <c r="N3" s="611"/>
      <c r="O3" s="611"/>
      <c r="P3" s="611"/>
    </row>
    <row r="4" spans="1:16" s="103" customFormat="1" ht="18.75" customHeight="1">
      <c r="A4" s="99"/>
      <c r="B4" s="99"/>
      <c r="C4" s="100"/>
      <c r="D4" s="567"/>
      <c r="E4" s="567"/>
      <c r="F4" s="567"/>
      <c r="G4" s="567"/>
      <c r="H4" s="567"/>
      <c r="I4" s="567"/>
      <c r="J4" s="567"/>
      <c r="K4" s="567"/>
      <c r="L4" s="567"/>
      <c r="M4" s="101" t="s">
        <v>297</v>
      </c>
      <c r="N4" s="102"/>
      <c r="O4" s="102"/>
      <c r="P4" s="102"/>
    </row>
    <row r="5" spans="1:16" ht="49.5" customHeight="1">
      <c r="A5" s="597" t="s">
        <v>57</v>
      </c>
      <c r="B5" s="598"/>
      <c r="C5" s="585" t="s">
        <v>82</v>
      </c>
      <c r="D5" s="586"/>
      <c r="E5" s="586"/>
      <c r="F5" s="586"/>
      <c r="G5" s="586"/>
      <c r="H5" s="586"/>
      <c r="I5" s="586"/>
      <c r="J5" s="586"/>
      <c r="K5" s="584" t="s">
        <v>81</v>
      </c>
      <c r="L5" s="584"/>
      <c r="M5" s="584"/>
      <c r="N5" s="584"/>
      <c r="O5" s="584"/>
      <c r="P5" s="584"/>
    </row>
    <row r="6" spans="1:16" ht="20.25" customHeight="1">
      <c r="A6" s="599"/>
      <c r="B6" s="600"/>
      <c r="C6" s="585" t="s">
        <v>3</v>
      </c>
      <c r="D6" s="586"/>
      <c r="E6" s="586"/>
      <c r="F6" s="587"/>
      <c r="G6" s="584" t="s">
        <v>9</v>
      </c>
      <c r="H6" s="584"/>
      <c r="I6" s="584"/>
      <c r="J6" s="584"/>
      <c r="K6" s="612" t="s">
        <v>3</v>
      </c>
      <c r="L6" s="612"/>
      <c r="M6" s="612"/>
      <c r="N6" s="605" t="s">
        <v>9</v>
      </c>
      <c r="O6" s="605"/>
      <c r="P6" s="605"/>
    </row>
    <row r="7" spans="1:16" ht="52.5" customHeight="1">
      <c r="A7" s="599"/>
      <c r="B7" s="600"/>
      <c r="C7" s="603" t="s">
        <v>298</v>
      </c>
      <c r="D7" s="586" t="s">
        <v>78</v>
      </c>
      <c r="E7" s="586"/>
      <c r="F7" s="587"/>
      <c r="G7" s="584" t="s">
        <v>299</v>
      </c>
      <c r="H7" s="584" t="s">
        <v>78</v>
      </c>
      <c r="I7" s="584"/>
      <c r="J7" s="584"/>
      <c r="K7" s="584" t="s">
        <v>32</v>
      </c>
      <c r="L7" s="584" t="s">
        <v>79</v>
      </c>
      <c r="M7" s="584"/>
      <c r="N7" s="584" t="s">
        <v>64</v>
      </c>
      <c r="O7" s="584" t="s">
        <v>79</v>
      </c>
      <c r="P7" s="584"/>
    </row>
    <row r="8" spans="1:16" ht="15.75" customHeight="1">
      <c r="A8" s="599"/>
      <c r="B8" s="600"/>
      <c r="C8" s="603"/>
      <c r="D8" s="584" t="s">
        <v>36</v>
      </c>
      <c r="E8" s="584" t="s">
        <v>37</v>
      </c>
      <c r="F8" s="584" t="s">
        <v>40</v>
      </c>
      <c r="G8" s="584"/>
      <c r="H8" s="584" t="s">
        <v>36</v>
      </c>
      <c r="I8" s="584" t="s">
        <v>37</v>
      </c>
      <c r="J8" s="584" t="s">
        <v>40</v>
      </c>
      <c r="K8" s="584"/>
      <c r="L8" s="584" t="s">
        <v>14</v>
      </c>
      <c r="M8" s="584" t="s">
        <v>13</v>
      </c>
      <c r="N8" s="584"/>
      <c r="O8" s="584" t="s">
        <v>14</v>
      </c>
      <c r="P8" s="584" t="s">
        <v>13</v>
      </c>
    </row>
    <row r="9" spans="1:16" ht="44.25" customHeight="1">
      <c r="A9" s="601"/>
      <c r="B9" s="602"/>
      <c r="C9" s="604"/>
      <c r="D9" s="584"/>
      <c r="E9" s="584"/>
      <c r="F9" s="584"/>
      <c r="G9" s="584"/>
      <c r="H9" s="584"/>
      <c r="I9" s="584"/>
      <c r="J9" s="584"/>
      <c r="K9" s="584"/>
      <c r="L9" s="584"/>
      <c r="M9" s="584"/>
      <c r="N9" s="584"/>
      <c r="O9" s="584"/>
      <c r="P9" s="584"/>
    </row>
    <row r="10" spans="1:16" ht="15" customHeight="1">
      <c r="A10" s="595" t="s">
        <v>6</v>
      </c>
      <c r="B10" s="596"/>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06" t="s">
        <v>300</v>
      </c>
      <c r="B11" s="607"/>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91" t="s">
        <v>301</v>
      </c>
      <c r="B12" s="592"/>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93" t="s">
        <v>33</v>
      </c>
      <c r="B13" s="594"/>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269</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270</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302</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272</v>
      </c>
    </row>
    <row r="18" spans="1:16" s="42" customFormat="1" ht="15" customHeight="1">
      <c r="A18" s="116" t="s">
        <v>49</v>
      </c>
      <c r="B18" s="117" t="s">
        <v>273</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274</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275</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276</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277</v>
      </c>
      <c r="AK21" s="42" t="s">
        <v>278</v>
      </c>
      <c r="AL21" s="42" t="s">
        <v>279</v>
      </c>
      <c r="AM21" s="113" t="s">
        <v>280</v>
      </c>
    </row>
    <row r="22" spans="1:39" s="42" customFormat="1" ht="15" customHeight="1">
      <c r="A22" s="116" t="s">
        <v>61</v>
      </c>
      <c r="B22" s="117" t="s">
        <v>281</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282</v>
      </c>
    </row>
    <row r="23" spans="1:16" s="42" customFormat="1" ht="15" customHeight="1">
      <c r="A23" s="116" t="s">
        <v>62</v>
      </c>
      <c r="B23" s="117" t="s">
        <v>283</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284</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277</v>
      </c>
    </row>
    <row r="25" spans="1:36" s="42" customFormat="1" ht="15" customHeight="1">
      <c r="A25" s="116" t="s">
        <v>83</v>
      </c>
      <c r="B25" s="117" t="s">
        <v>285</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286</v>
      </c>
    </row>
    <row r="26" spans="1:44" s="42" customFormat="1" ht="15" customHeight="1">
      <c r="A26" s="116" t="s">
        <v>84</v>
      </c>
      <c r="B26" s="117" t="s">
        <v>287</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18" t="s">
        <v>354</v>
      </c>
      <c r="C28" s="619"/>
      <c r="D28" s="619"/>
      <c r="E28" s="619"/>
      <c r="F28" s="123"/>
      <c r="G28" s="123"/>
      <c r="H28" s="123"/>
      <c r="I28" s="123"/>
      <c r="J28" s="123"/>
      <c r="K28" s="613" t="s">
        <v>355</v>
      </c>
      <c r="L28" s="613"/>
      <c r="M28" s="613"/>
      <c r="N28" s="613"/>
      <c r="O28" s="613"/>
      <c r="P28" s="613"/>
      <c r="AG28" s="73" t="s">
        <v>289</v>
      </c>
      <c r="AI28" s="113">
        <f>82/88</f>
        <v>0.9318181818181818</v>
      </c>
    </row>
    <row r="29" spans="2:16" ht="16.5">
      <c r="B29" s="619"/>
      <c r="C29" s="619"/>
      <c r="D29" s="619"/>
      <c r="E29" s="619"/>
      <c r="F29" s="123"/>
      <c r="G29" s="123"/>
      <c r="H29" s="123"/>
      <c r="I29" s="123"/>
      <c r="J29" s="123"/>
      <c r="K29" s="613"/>
      <c r="L29" s="613"/>
      <c r="M29" s="613"/>
      <c r="N29" s="613"/>
      <c r="O29" s="613"/>
      <c r="P29" s="613"/>
    </row>
    <row r="30" spans="2:16" ht="21" customHeight="1">
      <c r="B30" s="619"/>
      <c r="C30" s="619"/>
      <c r="D30" s="619"/>
      <c r="E30" s="619"/>
      <c r="F30" s="123"/>
      <c r="G30" s="123"/>
      <c r="H30" s="123"/>
      <c r="I30" s="123"/>
      <c r="J30" s="123"/>
      <c r="K30" s="613"/>
      <c r="L30" s="613"/>
      <c r="M30" s="613"/>
      <c r="N30" s="613"/>
      <c r="O30" s="613"/>
      <c r="P30" s="613"/>
    </row>
    <row r="32" spans="2:16" ht="16.5" customHeight="1">
      <c r="B32" s="621" t="s">
        <v>292</v>
      </c>
      <c r="C32" s="621"/>
      <c r="D32" s="621"/>
      <c r="E32" s="124"/>
      <c r="F32" s="124"/>
      <c r="G32" s="124"/>
      <c r="H32" s="124"/>
      <c r="I32" s="124"/>
      <c r="J32" s="124"/>
      <c r="K32" s="620" t="s">
        <v>356</v>
      </c>
      <c r="L32" s="620"/>
      <c r="M32" s="620"/>
      <c r="N32" s="620"/>
      <c r="O32" s="620"/>
      <c r="P32" s="620"/>
    </row>
    <row r="33" ht="12.75" customHeight="1"/>
    <row r="34" spans="2:5" ht="15.75">
      <c r="B34" s="125"/>
      <c r="C34" s="125"/>
      <c r="D34" s="125"/>
      <c r="E34" s="125"/>
    </row>
    <row r="35" ht="15.75" hidden="1"/>
    <row r="36" spans="2:16" ht="15.75">
      <c r="B36" s="616" t="s">
        <v>248</v>
      </c>
      <c r="C36" s="616"/>
      <c r="D36" s="616"/>
      <c r="E36" s="616"/>
      <c r="F36" s="126"/>
      <c r="G36" s="126"/>
      <c r="H36" s="126"/>
      <c r="I36" s="126"/>
      <c r="K36" s="617" t="s">
        <v>249</v>
      </c>
      <c r="L36" s="617"/>
      <c r="M36" s="617"/>
      <c r="N36" s="617"/>
      <c r="O36" s="617"/>
      <c r="P36" s="617"/>
    </row>
    <row r="39" ht="15.75">
      <c r="A39" s="128" t="s">
        <v>41</v>
      </c>
    </row>
    <row r="40" spans="1:6" ht="15.75">
      <c r="A40" s="129"/>
      <c r="B40" s="130" t="s">
        <v>50</v>
      </c>
      <c r="C40" s="130"/>
      <c r="D40" s="130"/>
      <c r="E40" s="130"/>
      <c r="F40" s="130"/>
    </row>
    <row r="41" spans="1:14" ht="15.75" customHeight="1">
      <c r="A41" s="131" t="s">
        <v>25</v>
      </c>
      <c r="B41" s="615" t="s">
        <v>53</v>
      </c>
      <c r="C41" s="615"/>
      <c r="D41" s="615"/>
      <c r="E41" s="615"/>
      <c r="F41" s="615"/>
      <c r="G41" s="131"/>
      <c r="H41" s="131"/>
      <c r="I41" s="131"/>
      <c r="J41" s="131"/>
      <c r="K41" s="131"/>
      <c r="L41" s="131"/>
      <c r="M41" s="131"/>
      <c r="N41" s="131"/>
    </row>
    <row r="42" spans="1:14" ht="15" customHeight="1">
      <c r="A42" s="131"/>
      <c r="B42" s="614" t="s">
        <v>54</v>
      </c>
      <c r="C42" s="614"/>
      <c r="D42" s="614"/>
      <c r="E42" s="614"/>
      <c r="F42" s="614"/>
      <c r="G42" s="614"/>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71" t="s">
        <v>99</v>
      </c>
      <c r="B1" s="571"/>
      <c r="C1" s="571"/>
      <c r="D1" s="625" t="s">
        <v>357</v>
      </c>
      <c r="E1" s="625"/>
      <c r="F1" s="625"/>
      <c r="G1" s="625"/>
      <c r="H1" s="625"/>
      <c r="I1" s="625"/>
      <c r="J1" s="634" t="s">
        <v>358</v>
      </c>
      <c r="K1" s="635"/>
      <c r="L1" s="635"/>
    </row>
    <row r="2" spans="1:13" ht="15.75" customHeight="1">
      <c r="A2" s="636" t="s">
        <v>303</v>
      </c>
      <c r="B2" s="636"/>
      <c r="C2" s="636"/>
      <c r="D2" s="625"/>
      <c r="E2" s="625"/>
      <c r="F2" s="625"/>
      <c r="G2" s="625"/>
      <c r="H2" s="625"/>
      <c r="I2" s="625"/>
      <c r="J2" s="635" t="s">
        <v>304</v>
      </c>
      <c r="K2" s="635"/>
      <c r="L2" s="635"/>
      <c r="M2" s="133"/>
    </row>
    <row r="3" spans="1:13" ht="15.75" customHeight="1">
      <c r="A3" s="557" t="s">
        <v>255</v>
      </c>
      <c r="B3" s="557"/>
      <c r="C3" s="557"/>
      <c r="D3" s="625"/>
      <c r="E3" s="625"/>
      <c r="F3" s="625"/>
      <c r="G3" s="625"/>
      <c r="H3" s="625"/>
      <c r="I3" s="625"/>
      <c r="J3" s="634" t="s">
        <v>359</v>
      </c>
      <c r="K3" s="634"/>
      <c r="L3" s="634"/>
      <c r="M3" s="37"/>
    </row>
    <row r="4" spans="1:13" ht="15.75" customHeight="1">
      <c r="A4" s="632" t="s">
        <v>257</v>
      </c>
      <c r="B4" s="632"/>
      <c r="C4" s="632"/>
      <c r="D4" s="627"/>
      <c r="E4" s="627"/>
      <c r="F4" s="627"/>
      <c r="G4" s="627"/>
      <c r="H4" s="627"/>
      <c r="I4" s="627"/>
      <c r="J4" s="635" t="s">
        <v>305</v>
      </c>
      <c r="K4" s="635"/>
      <c r="L4" s="635"/>
      <c r="M4" s="133"/>
    </row>
    <row r="5" spans="1:13" ht="15.75">
      <c r="A5" s="134"/>
      <c r="B5" s="134"/>
      <c r="C5" s="34"/>
      <c r="D5" s="34"/>
      <c r="E5" s="34"/>
      <c r="F5" s="34"/>
      <c r="G5" s="34"/>
      <c r="H5" s="34"/>
      <c r="I5" s="34"/>
      <c r="J5" s="626" t="s">
        <v>8</v>
      </c>
      <c r="K5" s="626"/>
      <c r="L5" s="626"/>
      <c r="M5" s="133"/>
    </row>
    <row r="6" spans="1:14" ht="15.75">
      <c r="A6" s="639" t="s">
        <v>57</v>
      </c>
      <c r="B6" s="640"/>
      <c r="C6" s="584" t="s">
        <v>306</v>
      </c>
      <c r="D6" s="624" t="s">
        <v>307</v>
      </c>
      <c r="E6" s="624"/>
      <c r="F6" s="624"/>
      <c r="G6" s="624"/>
      <c r="H6" s="624"/>
      <c r="I6" s="624"/>
      <c r="J6" s="568" t="s">
        <v>97</v>
      </c>
      <c r="K6" s="568"/>
      <c r="L6" s="568"/>
      <c r="M6" s="622" t="s">
        <v>308</v>
      </c>
      <c r="N6" s="623" t="s">
        <v>309</v>
      </c>
    </row>
    <row r="7" spans="1:14" ht="15.75" customHeight="1">
      <c r="A7" s="641"/>
      <c r="B7" s="642"/>
      <c r="C7" s="584"/>
      <c r="D7" s="624" t="s">
        <v>7</v>
      </c>
      <c r="E7" s="624"/>
      <c r="F7" s="624"/>
      <c r="G7" s="624"/>
      <c r="H7" s="624"/>
      <c r="I7" s="624"/>
      <c r="J7" s="568"/>
      <c r="K7" s="568"/>
      <c r="L7" s="568"/>
      <c r="M7" s="622"/>
      <c r="N7" s="623"/>
    </row>
    <row r="8" spans="1:14" s="73" customFormat="1" ht="31.5" customHeight="1">
      <c r="A8" s="641"/>
      <c r="B8" s="642"/>
      <c r="C8" s="584"/>
      <c r="D8" s="568" t="s">
        <v>95</v>
      </c>
      <c r="E8" s="568" t="s">
        <v>96</v>
      </c>
      <c r="F8" s="568"/>
      <c r="G8" s="568"/>
      <c r="H8" s="568"/>
      <c r="I8" s="568"/>
      <c r="J8" s="568"/>
      <c r="K8" s="568"/>
      <c r="L8" s="568"/>
      <c r="M8" s="622"/>
      <c r="N8" s="623"/>
    </row>
    <row r="9" spans="1:14" s="73" customFormat="1" ht="15.75" customHeight="1">
      <c r="A9" s="641"/>
      <c r="B9" s="642"/>
      <c r="C9" s="584"/>
      <c r="D9" s="568"/>
      <c r="E9" s="568" t="s">
        <v>98</v>
      </c>
      <c r="F9" s="568" t="s">
        <v>7</v>
      </c>
      <c r="G9" s="568"/>
      <c r="H9" s="568"/>
      <c r="I9" s="568"/>
      <c r="J9" s="568" t="s">
        <v>7</v>
      </c>
      <c r="K9" s="568"/>
      <c r="L9" s="568"/>
      <c r="M9" s="622"/>
      <c r="N9" s="623"/>
    </row>
    <row r="10" spans="1:14" s="73" customFormat="1" ht="86.25" customHeight="1">
      <c r="A10" s="643"/>
      <c r="B10" s="644"/>
      <c r="C10" s="584"/>
      <c r="D10" s="568"/>
      <c r="E10" s="568"/>
      <c r="F10" s="104" t="s">
        <v>22</v>
      </c>
      <c r="G10" s="104" t="s">
        <v>24</v>
      </c>
      <c r="H10" s="104" t="s">
        <v>16</v>
      </c>
      <c r="I10" s="104" t="s">
        <v>23</v>
      </c>
      <c r="J10" s="104" t="s">
        <v>15</v>
      </c>
      <c r="K10" s="104" t="s">
        <v>20</v>
      </c>
      <c r="L10" s="104" t="s">
        <v>21</v>
      </c>
      <c r="M10" s="622"/>
      <c r="N10" s="623"/>
    </row>
    <row r="11" spans="1:32" ht="13.5" customHeight="1">
      <c r="A11" s="649" t="s">
        <v>5</v>
      </c>
      <c r="B11" s="650"/>
      <c r="C11" s="135">
        <v>1</v>
      </c>
      <c r="D11" s="135" t="s">
        <v>44</v>
      </c>
      <c r="E11" s="135" t="s">
        <v>49</v>
      </c>
      <c r="F11" s="135" t="s">
        <v>58</v>
      </c>
      <c r="G11" s="135" t="s">
        <v>59</v>
      </c>
      <c r="H11" s="135" t="s">
        <v>60</v>
      </c>
      <c r="I11" s="135" t="s">
        <v>61</v>
      </c>
      <c r="J11" s="135" t="s">
        <v>62</v>
      </c>
      <c r="K11" s="135" t="s">
        <v>63</v>
      </c>
      <c r="L11" s="135" t="s">
        <v>83</v>
      </c>
      <c r="M11" s="136"/>
      <c r="N11" s="137"/>
      <c r="AF11" s="33" t="s">
        <v>269</v>
      </c>
    </row>
    <row r="12" spans="1:14" ht="24" customHeight="1">
      <c r="A12" s="630" t="s">
        <v>300</v>
      </c>
      <c r="B12" s="63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28" t="s">
        <v>256</v>
      </c>
      <c r="B13" s="629"/>
      <c r="C13" s="139">
        <v>59</v>
      </c>
      <c r="D13" s="139">
        <v>43</v>
      </c>
      <c r="E13" s="139">
        <v>0</v>
      </c>
      <c r="F13" s="139">
        <v>5</v>
      </c>
      <c r="G13" s="139">
        <v>2</v>
      </c>
      <c r="H13" s="139">
        <v>7</v>
      </c>
      <c r="I13" s="139">
        <v>2</v>
      </c>
      <c r="J13" s="139">
        <v>10</v>
      </c>
      <c r="K13" s="139">
        <v>44</v>
      </c>
      <c r="L13" s="139">
        <v>5</v>
      </c>
      <c r="M13" s="136"/>
      <c r="N13" s="137"/>
    </row>
    <row r="14" spans="1:37" s="52" customFormat="1" ht="16.5" customHeight="1">
      <c r="A14" s="647" t="s">
        <v>30</v>
      </c>
      <c r="B14" s="648"/>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270</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272</v>
      </c>
    </row>
    <row r="18" spans="1:14" s="148" customFormat="1" ht="16.5" customHeight="1">
      <c r="A18" s="147" t="s">
        <v>44</v>
      </c>
      <c r="B18" s="68" t="s">
        <v>302</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273</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274</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275</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277</v>
      </c>
      <c r="AK21" s="148" t="s">
        <v>278</v>
      </c>
      <c r="AL21" s="148" t="s">
        <v>279</v>
      </c>
      <c r="AM21" s="63" t="s">
        <v>280</v>
      </c>
    </row>
    <row r="22" spans="1:39" s="148" customFormat="1" ht="16.5" customHeight="1">
      <c r="A22" s="147" t="s">
        <v>60</v>
      </c>
      <c r="B22" s="68" t="s">
        <v>276</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282</v>
      </c>
    </row>
    <row r="23" spans="1:14" s="148" customFormat="1" ht="16.5" customHeight="1">
      <c r="A23" s="147" t="s">
        <v>61</v>
      </c>
      <c r="B23" s="68" t="s">
        <v>281</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283</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277</v>
      </c>
    </row>
    <row r="25" spans="1:36" s="148" customFormat="1" ht="16.5" customHeight="1">
      <c r="A25" s="147" t="s">
        <v>63</v>
      </c>
      <c r="B25" s="68" t="s">
        <v>284</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286</v>
      </c>
    </row>
    <row r="26" spans="1:44" s="70" customFormat="1" ht="16.5" customHeight="1">
      <c r="A26" s="151" t="s">
        <v>83</v>
      </c>
      <c r="B26" s="68" t="s">
        <v>285</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287</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289</v>
      </c>
      <c r="AI28" s="157">
        <f>82/88</f>
        <v>0.9318181818181818</v>
      </c>
    </row>
    <row r="29" spans="1:13" ht="16.5" customHeight="1">
      <c r="A29" s="562" t="s">
        <v>360</v>
      </c>
      <c r="B29" s="651"/>
      <c r="C29" s="651"/>
      <c r="D29" s="651"/>
      <c r="E29" s="158"/>
      <c r="F29" s="158"/>
      <c r="G29" s="158"/>
      <c r="H29" s="637" t="s">
        <v>310</v>
      </c>
      <c r="I29" s="637"/>
      <c r="J29" s="637"/>
      <c r="K29" s="637"/>
      <c r="L29" s="637"/>
      <c r="M29" s="159"/>
    </row>
    <row r="30" spans="1:12" ht="18.75">
      <c r="A30" s="651"/>
      <c r="B30" s="651"/>
      <c r="C30" s="651"/>
      <c r="D30" s="651"/>
      <c r="E30" s="158"/>
      <c r="F30" s="158"/>
      <c r="G30" s="158"/>
      <c r="H30" s="638" t="s">
        <v>311</v>
      </c>
      <c r="I30" s="638"/>
      <c r="J30" s="638"/>
      <c r="K30" s="638"/>
      <c r="L30" s="638"/>
    </row>
    <row r="31" spans="1:12" s="32" customFormat="1" ht="16.5" customHeight="1">
      <c r="A31" s="559"/>
      <c r="B31" s="559"/>
      <c r="C31" s="559"/>
      <c r="D31" s="559"/>
      <c r="E31" s="160"/>
      <c r="F31" s="160"/>
      <c r="G31" s="160"/>
      <c r="H31" s="560"/>
      <c r="I31" s="560"/>
      <c r="J31" s="560"/>
      <c r="K31" s="560"/>
      <c r="L31" s="560"/>
    </row>
    <row r="32" spans="1:12" ht="18.75">
      <c r="A32" s="89"/>
      <c r="B32" s="559" t="s">
        <v>292</v>
      </c>
      <c r="C32" s="559"/>
      <c r="D32" s="559"/>
      <c r="E32" s="160"/>
      <c r="F32" s="160"/>
      <c r="G32" s="160"/>
      <c r="H32" s="160"/>
      <c r="I32" s="633" t="s">
        <v>292</v>
      </c>
      <c r="J32" s="633"/>
      <c r="K32" s="633"/>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72" t="s">
        <v>248</v>
      </c>
      <c r="B37" s="572"/>
      <c r="C37" s="572"/>
      <c r="D37" s="572"/>
      <c r="E37" s="91"/>
      <c r="F37" s="91"/>
      <c r="G37" s="91"/>
      <c r="H37" s="573" t="s">
        <v>248</v>
      </c>
      <c r="I37" s="573"/>
      <c r="J37" s="573"/>
      <c r="K37" s="573"/>
      <c r="L37" s="573"/>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46" t="s">
        <v>50</v>
      </c>
      <c r="C40" s="646"/>
      <c r="D40" s="646"/>
      <c r="E40" s="646"/>
      <c r="F40" s="646"/>
      <c r="G40" s="646"/>
      <c r="H40" s="646"/>
      <c r="I40" s="646"/>
      <c r="J40" s="646"/>
      <c r="K40" s="646"/>
      <c r="L40" s="646"/>
    </row>
    <row r="41" spans="1:12" ht="16.5" customHeight="1">
      <c r="A41" s="165"/>
      <c r="B41" s="645" t="s">
        <v>52</v>
      </c>
      <c r="C41" s="645"/>
      <c r="D41" s="645"/>
      <c r="E41" s="645"/>
      <c r="F41" s="645"/>
      <c r="G41" s="645"/>
      <c r="H41" s="645"/>
      <c r="I41" s="645"/>
      <c r="J41" s="645"/>
      <c r="K41" s="645"/>
      <c r="L41" s="645"/>
    </row>
    <row r="42" ht="15.75">
      <c r="B42" s="38" t="s">
        <v>51</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68" t="s">
        <v>137</v>
      </c>
      <c r="B1" s="668"/>
      <c r="C1" s="668"/>
      <c r="D1" s="663" t="s">
        <v>314</v>
      </c>
      <c r="E1" s="664"/>
      <c r="F1" s="664"/>
      <c r="G1" s="664"/>
      <c r="H1" s="664"/>
      <c r="I1" s="664"/>
      <c r="J1" s="664"/>
      <c r="K1" s="664"/>
      <c r="L1" s="664"/>
      <c r="M1" s="664"/>
      <c r="N1" s="664"/>
      <c r="O1" s="212"/>
      <c r="P1" s="169" t="s">
        <v>364</v>
      </c>
      <c r="Q1" s="168"/>
      <c r="R1" s="168"/>
      <c r="S1" s="168"/>
      <c r="T1" s="168"/>
      <c r="U1" s="212"/>
    </row>
    <row r="2" spans="1:21" ht="16.5" customHeight="1">
      <c r="A2" s="665" t="s">
        <v>315</v>
      </c>
      <c r="B2" s="665"/>
      <c r="C2" s="665"/>
      <c r="D2" s="664"/>
      <c r="E2" s="664"/>
      <c r="F2" s="664"/>
      <c r="G2" s="664"/>
      <c r="H2" s="664"/>
      <c r="I2" s="664"/>
      <c r="J2" s="664"/>
      <c r="K2" s="664"/>
      <c r="L2" s="664"/>
      <c r="M2" s="664"/>
      <c r="N2" s="664"/>
      <c r="O2" s="213"/>
      <c r="P2" s="656" t="s">
        <v>316</v>
      </c>
      <c r="Q2" s="656"/>
      <c r="R2" s="656"/>
      <c r="S2" s="656"/>
      <c r="T2" s="656"/>
      <c r="U2" s="213"/>
    </row>
    <row r="3" spans="1:21" ht="16.5" customHeight="1">
      <c r="A3" s="684" t="s">
        <v>317</v>
      </c>
      <c r="B3" s="684"/>
      <c r="C3" s="684"/>
      <c r="D3" s="669" t="s">
        <v>318</v>
      </c>
      <c r="E3" s="669"/>
      <c r="F3" s="669"/>
      <c r="G3" s="669"/>
      <c r="H3" s="669"/>
      <c r="I3" s="669"/>
      <c r="J3" s="669"/>
      <c r="K3" s="669"/>
      <c r="L3" s="669"/>
      <c r="M3" s="669"/>
      <c r="N3" s="669"/>
      <c r="O3" s="213"/>
      <c r="P3" s="173" t="s">
        <v>363</v>
      </c>
      <c r="Q3" s="213"/>
      <c r="R3" s="213"/>
      <c r="S3" s="213"/>
      <c r="T3" s="213"/>
      <c r="U3" s="213"/>
    </row>
    <row r="4" spans="1:21" ht="16.5" customHeight="1">
      <c r="A4" s="670" t="s">
        <v>257</v>
      </c>
      <c r="B4" s="670"/>
      <c r="C4" s="670"/>
      <c r="D4" s="691"/>
      <c r="E4" s="691"/>
      <c r="F4" s="691"/>
      <c r="G4" s="691"/>
      <c r="H4" s="691"/>
      <c r="I4" s="691"/>
      <c r="J4" s="691"/>
      <c r="K4" s="691"/>
      <c r="L4" s="691"/>
      <c r="M4" s="691"/>
      <c r="N4" s="691"/>
      <c r="O4" s="213"/>
      <c r="P4" s="172" t="s">
        <v>296</v>
      </c>
      <c r="Q4" s="213"/>
      <c r="R4" s="213"/>
      <c r="S4" s="213"/>
      <c r="T4" s="213"/>
      <c r="U4" s="213"/>
    </row>
    <row r="5" spans="12:21" ht="16.5" customHeight="1">
      <c r="L5" s="214"/>
      <c r="M5" s="214"/>
      <c r="N5" s="214"/>
      <c r="O5" s="176"/>
      <c r="P5" s="175" t="s">
        <v>319</v>
      </c>
      <c r="Q5" s="176"/>
      <c r="R5" s="176"/>
      <c r="S5" s="176"/>
      <c r="T5" s="176"/>
      <c r="U5" s="172"/>
    </row>
    <row r="6" spans="1:21" s="217" customFormat="1" ht="15.75" customHeight="1">
      <c r="A6" s="657" t="s">
        <v>57</v>
      </c>
      <c r="B6" s="658"/>
      <c r="C6" s="652" t="s">
        <v>138</v>
      </c>
      <c r="D6" s="666" t="s">
        <v>139</v>
      </c>
      <c r="E6" s="667"/>
      <c r="F6" s="667"/>
      <c r="G6" s="667"/>
      <c r="H6" s="667"/>
      <c r="I6" s="667"/>
      <c r="J6" s="667"/>
      <c r="K6" s="667"/>
      <c r="L6" s="667"/>
      <c r="M6" s="667"/>
      <c r="N6" s="667"/>
      <c r="O6" s="667"/>
      <c r="P6" s="667"/>
      <c r="Q6" s="667"/>
      <c r="R6" s="667"/>
      <c r="S6" s="667"/>
      <c r="T6" s="652" t="s">
        <v>140</v>
      </c>
      <c r="U6" s="216"/>
    </row>
    <row r="7" spans="1:20" s="218" customFormat="1" ht="12.75" customHeight="1">
      <c r="A7" s="659"/>
      <c r="B7" s="660"/>
      <c r="C7" s="652"/>
      <c r="D7" s="688" t="s">
        <v>135</v>
      </c>
      <c r="E7" s="667" t="s">
        <v>7</v>
      </c>
      <c r="F7" s="667"/>
      <c r="G7" s="667"/>
      <c r="H7" s="667"/>
      <c r="I7" s="667"/>
      <c r="J7" s="667"/>
      <c r="K7" s="667"/>
      <c r="L7" s="667"/>
      <c r="M7" s="667"/>
      <c r="N7" s="667"/>
      <c r="O7" s="667"/>
      <c r="P7" s="667"/>
      <c r="Q7" s="667"/>
      <c r="R7" s="667"/>
      <c r="S7" s="667"/>
      <c r="T7" s="652"/>
    </row>
    <row r="8" spans="1:21" s="218" customFormat="1" ht="43.5" customHeight="1">
      <c r="A8" s="659"/>
      <c r="B8" s="660"/>
      <c r="C8" s="652"/>
      <c r="D8" s="689"/>
      <c r="E8" s="655" t="s">
        <v>141</v>
      </c>
      <c r="F8" s="652"/>
      <c r="G8" s="652"/>
      <c r="H8" s="652" t="s">
        <v>142</v>
      </c>
      <c r="I8" s="652"/>
      <c r="J8" s="652"/>
      <c r="K8" s="652" t="s">
        <v>143</v>
      </c>
      <c r="L8" s="652"/>
      <c r="M8" s="652" t="s">
        <v>144</v>
      </c>
      <c r="N8" s="652"/>
      <c r="O8" s="652"/>
      <c r="P8" s="652" t="s">
        <v>145</v>
      </c>
      <c r="Q8" s="652" t="s">
        <v>146</v>
      </c>
      <c r="R8" s="652" t="s">
        <v>147</v>
      </c>
      <c r="S8" s="671" t="s">
        <v>148</v>
      </c>
      <c r="T8" s="652"/>
      <c r="U8" s="681" t="s">
        <v>320</v>
      </c>
    </row>
    <row r="9" spans="1:21" s="218" customFormat="1" ht="44.25" customHeight="1">
      <c r="A9" s="661"/>
      <c r="B9" s="662"/>
      <c r="C9" s="652"/>
      <c r="D9" s="690"/>
      <c r="E9" s="219" t="s">
        <v>149</v>
      </c>
      <c r="F9" s="215" t="s">
        <v>150</v>
      </c>
      <c r="G9" s="215" t="s">
        <v>321</v>
      </c>
      <c r="H9" s="215" t="s">
        <v>151</v>
      </c>
      <c r="I9" s="215" t="s">
        <v>152</v>
      </c>
      <c r="J9" s="215" t="s">
        <v>153</v>
      </c>
      <c r="K9" s="215" t="s">
        <v>150</v>
      </c>
      <c r="L9" s="215" t="s">
        <v>154</v>
      </c>
      <c r="M9" s="215" t="s">
        <v>155</v>
      </c>
      <c r="N9" s="215" t="s">
        <v>156</v>
      </c>
      <c r="O9" s="215" t="s">
        <v>322</v>
      </c>
      <c r="P9" s="652"/>
      <c r="Q9" s="652"/>
      <c r="R9" s="652"/>
      <c r="S9" s="671"/>
      <c r="T9" s="652"/>
      <c r="U9" s="682"/>
    </row>
    <row r="10" spans="1:21" s="222" customFormat="1" ht="15.75" customHeight="1">
      <c r="A10" s="685" t="s">
        <v>6</v>
      </c>
      <c r="B10" s="686"/>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82"/>
    </row>
    <row r="11" spans="1:21" s="222" customFormat="1" ht="15.75" customHeight="1">
      <c r="A11" s="653" t="s">
        <v>300</v>
      </c>
      <c r="B11" s="65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83"/>
    </row>
    <row r="12" spans="1:21" s="222" customFormat="1" ht="15.75" customHeight="1">
      <c r="A12" s="672" t="s">
        <v>301</v>
      </c>
      <c r="B12" s="673"/>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78" t="s">
        <v>30</v>
      </c>
      <c r="B13" s="679"/>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270</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302</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273</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274</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275</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276</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281</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283</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284</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285</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287</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87" t="s">
        <v>288</v>
      </c>
      <c r="C28" s="687"/>
      <c r="D28" s="687"/>
      <c r="E28" s="687"/>
      <c r="F28" s="181"/>
      <c r="G28" s="181"/>
      <c r="H28" s="181"/>
      <c r="I28" s="181"/>
      <c r="J28" s="181"/>
      <c r="K28" s="181" t="s">
        <v>157</v>
      </c>
      <c r="L28" s="182"/>
      <c r="M28" s="692" t="s">
        <v>323</v>
      </c>
      <c r="N28" s="692"/>
      <c r="O28" s="692"/>
      <c r="P28" s="692"/>
      <c r="Q28" s="692"/>
      <c r="R28" s="692"/>
      <c r="S28" s="692"/>
      <c r="T28" s="692"/>
    </row>
    <row r="29" spans="1:20" s="233" customFormat="1" ht="18.75" customHeight="1">
      <c r="A29" s="232"/>
      <c r="B29" s="677" t="s">
        <v>158</v>
      </c>
      <c r="C29" s="677"/>
      <c r="D29" s="677"/>
      <c r="E29" s="234"/>
      <c r="F29" s="183"/>
      <c r="G29" s="183"/>
      <c r="H29" s="183"/>
      <c r="I29" s="183"/>
      <c r="J29" s="183"/>
      <c r="K29" s="183"/>
      <c r="L29" s="182"/>
      <c r="M29" s="680" t="s">
        <v>312</v>
      </c>
      <c r="N29" s="680"/>
      <c r="O29" s="680"/>
      <c r="P29" s="680"/>
      <c r="Q29" s="680"/>
      <c r="R29" s="680"/>
      <c r="S29" s="680"/>
      <c r="T29" s="680"/>
    </row>
    <row r="30" spans="1:20" s="233" customFormat="1" ht="18.75">
      <c r="A30" s="184"/>
      <c r="B30" s="674"/>
      <c r="C30" s="674"/>
      <c r="D30" s="674"/>
      <c r="E30" s="186"/>
      <c r="F30" s="186"/>
      <c r="G30" s="186"/>
      <c r="H30" s="186"/>
      <c r="I30" s="186"/>
      <c r="J30" s="186"/>
      <c r="K30" s="186"/>
      <c r="L30" s="186"/>
      <c r="M30" s="675"/>
      <c r="N30" s="675"/>
      <c r="O30" s="675"/>
      <c r="P30" s="675"/>
      <c r="Q30" s="675"/>
      <c r="R30" s="675"/>
      <c r="S30" s="675"/>
      <c r="T30" s="675"/>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160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161</v>
      </c>
      <c r="C34" s="186"/>
      <c r="D34" s="186"/>
      <c r="E34" s="186"/>
      <c r="F34" s="186"/>
      <c r="G34" s="186"/>
      <c r="H34" s="186"/>
      <c r="I34" s="186"/>
      <c r="J34" s="186"/>
      <c r="K34" s="186"/>
      <c r="L34" s="186"/>
      <c r="M34" s="186"/>
      <c r="N34" s="186"/>
      <c r="O34" s="186"/>
      <c r="P34" s="186"/>
      <c r="Q34" s="186"/>
      <c r="R34" s="186"/>
      <c r="S34" s="186"/>
      <c r="T34" s="186"/>
    </row>
    <row r="35" spans="2:20" ht="18.75" hidden="1">
      <c r="B35" s="236" t="s">
        <v>162</v>
      </c>
      <c r="C35" s="186"/>
      <c r="D35" s="186"/>
      <c r="E35" s="186"/>
      <c r="F35" s="186"/>
      <c r="G35" s="186"/>
      <c r="H35" s="186"/>
      <c r="I35" s="186"/>
      <c r="J35" s="186"/>
      <c r="K35" s="186"/>
      <c r="L35" s="186"/>
      <c r="M35" s="186"/>
      <c r="N35" s="186"/>
      <c r="O35" s="186"/>
      <c r="P35" s="186"/>
      <c r="Q35" s="186"/>
      <c r="R35" s="186"/>
      <c r="S35" s="186"/>
      <c r="T35" s="186"/>
    </row>
    <row r="36" spans="2:20" s="211" customFormat="1" ht="18.75">
      <c r="B36" s="676" t="s">
        <v>292</v>
      </c>
      <c r="C36" s="676"/>
      <c r="D36" s="676"/>
      <c r="E36" s="236"/>
      <c r="F36" s="236"/>
      <c r="G36" s="236"/>
      <c r="H36" s="236"/>
      <c r="I36" s="236"/>
      <c r="J36" s="236"/>
      <c r="K36" s="236"/>
      <c r="L36" s="236"/>
      <c r="M36" s="236"/>
      <c r="N36" s="676" t="s">
        <v>292</v>
      </c>
      <c r="O36" s="676"/>
      <c r="P36" s="676"/>
      <c r="Q36" s="676"/>
      <c r="R36" s="676"/>
      <c r="S36" s="676"/>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72" t="s">
        <v>248</v>
      </c>
      <c r="C38" s="572"/>
      <c r="D38" s="572"/>
      <c r="E38" s="210"/>
      <c r="F38" s="210"/>
      <c r="G38" s="210"/>
      <c r="H38" s="210"/>
      <c r="I38" s="182"/>
      <c r="J38" s="182"/>
      <c r="K38" s="182"/>
      <c r="L38" s="182"/>
      <c r="M38" s="573" t="s">
        <v>249</v>
      </c>
      <c r="N38" s="573"/>
      <c r="O38" s="573"/>
      <c r="P38" s="573"/>
      <c r="Q38" s="573"/>
      <c r="R38" s="573"/>
      <c r="S38" s="573"/>
      <c r="T38" s="573"/>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10" t="s">
        <v>163</v>
      </c>
      <c r="B1" s="710"/>
      <c r="C1" s="710"/>
      <c r="D1" s="238"/>
      <c r="E1" s="699" t="s">
        <v>164</v>
      </c>
      <c r="F1" s="699"/>
      <c r="G1" s="699"/>
      <c r="H1" s="699"/>
      <c r="I1" s="699"/>
      <c r="J1" s="699"/>
      <c r="K1" s="699"/>
      <c r="L1" s="699"/>
      <c r="M1" s="699"/>
      <c r="N1" s="699"/>
      <c r="O1" s="191"/>
      <c r="P1" s="715" t="s">
        <v>362</v>
      </c>
      <c r="Q1" s="715"/>
      <c r="R1" s="715"/>
      <c r="S1" s="715"/>
      <c r="T1" s="715"/>
    </row>
    <row r="2" spans="1:20" ht="15.75" customHeight="1">
      <c r="A2" s="711" t="s">
        <v>324</v>
      </c>
      <c r="B2" s="711"/>
      <c r="C2" s="711"/>
      <c r="D2" s="711"/>
      <c r="E2" s="713" t="s">
        <v>165</v>
      </c>
      <c r="F2" s="713"/>
      <c r="G2" s="713"/>
      <c r="H2" s="713"/>
      <c r="I2" s="713"/>
      <c r="J2" s="713"/>
      <c r="K2" s="713"/>
      <c r="L2" s="713"/>
      <c r="M2" s="713"/>
      <c r="N2" s="713"/>
      <c r="O2" s="194"/>
      <c r="P2" s="697" t="s">
        <v>304</v>
      </c>
      <c r="Q2" s="697"/>
      <c r="R2" s="697"/>
      <c r="S2" s="697"/>
      <c r="T2" s="697"/>
    </row>
    <row r="3" spans="1:20" ht="17.25">
      <c r="A3" s="711" t="s">
        <v>255</v>
      </c>
      <c r="B3" s="711"/>
      <c r="C3" s="711"/>
      <c r="D3" s="239"/>
      <c r="E3" s="700" t="s">
        <v>256</v>
      </c>
      <c r="F3" s="700"/>
      <c r="G3" s="700"/>
      <c r="H3" s="700"/>
      <c r="I3" s="700"/>
      <c r="J3" s="700"/>
      <c r="K3" s="700"/>
      <c r="L3" s="700"/>
      <c r="M3" s="700"/>
      <c r="N3" s="700"/>
      <c r="O3" s="194"/>
      <c r="P3" s="698" t="s">
        <v>363</v>
      </c>
      <c r="Q3" s="698"/>
      <c r="R3" s="698"/>
      <c r="S3" s="698"/>
      <c r="T3" s="698"/>
    </row>
    <row r="4" spans="1:20" ht="18.75" customHeight="1">
      <c r="A4" s="712" t="s">
        <v>257</v>
      </c>
      <c r="B4" s="712"/>
      <c r="C4" s="712"/>
      <c r="D4" s="714"/>
      <c r="E4" s="714"/>
      <c r="F4" s="714"/>
      <c r="G4" s="714"/>
      <c r="H4" s="714"/>
      <c r="I4" s="714"/>
      <c r="J4" s="714"/>
      <c r="K4" s="714"/>
      <c r="L4" s="714"/>
      <c r="M4" s="714"/>
      <c r="N4" s="714"/>
      <c r="O4" s="195"/>
      <c r="P4" s="697" t="s">
        <v>296</v>
      </c>
      <c r="Q4" s="698"/>
      <c r="R4" s="698"/>
      <c r="S4" s="698"/>
      <c r="T4" s="698"/>
    </row>
    <row r="5" spans="1:23" ht="15">
      <c r="A5" s="208"/>
      <c r="B5" s="208"/>
      <c r="C5" s="240"/>
      <c r="D5" s="240"/>
      <c r="E5" s="208"/>
      <c r="F5" s="208"/>
      <c r="G5" s="208"/>
      <c r="H5" s="208"/>
      <c r="I5" s="208"/>
      <c r="J5" s="208"/>
      <c r="K5" s="208"/>
      <c r="L5" s="208"/>
      <c r="P5" s="716" t="s">
        <v>319</v>
      </c>
      <c r="Q5" s="716"/>
      <c r="R5" s="716"/>
      <c r="S5" s="716"/>
      <c r="T5" s="716"/>
      <c r="U5" s="241"/>
      <c r="V5" s="241"/>
      <c r="W5" s="241"/>
    </row>
    <row r="6" spans="1:23" ht="29.25" customHeight="1">
      <c r="A6" s="657" t="s">
        <v>57</v>
      </c>
      <c r="B6" s="733"/>
      <c r="C6" s="728" t="s">
        <v>2</v>
      </c>
      <c r="D6" s="717" t="s">
        <v>166</v>
      </c>
      <c r="E6" s="708"/>
      <c r="F6" s="708"/>
      <c r="G6" s="708"/>
      <c r="H6" s="708"/>
      <c r="I6" s="708"/>
      <c r="J6" s="709"/>
      <c r="K6" s="701" t="s">
        <v>167</v>
      </c>
      <c r="L6" s="702"/>
      <c r="M6" s="702"/>
      <c r="N6" s="702"/>
      <c r="O6" s="702"/>
      <c r="P6" s="702"/>
      <c r="Q6" s="702"/>
      <c r="R6" s="702"/>
      <c r="S6" s="702"/>
      <c r="T6" s="703"/>
      <c r="U6" s="242"/>
      <c r="V6" s="243"/>
      <c r="W6" s="243"/>
    </row>
    <row r="7" spans="1:20" ht="19.5" customHeight="1">
      <c r="A7" s="659"/>
      <c r="B7" s="734"/>
      <c r="C7" s="729"/>
      <c r="D7" s="708" t="s">
        <v>7</v>
      </c>
      <c r="E7" s="708"/>
      <c r="F7" s="708"/>
      <c r="G7" s="708"/>
      <c r="H7" s="708"/>
      <c r="I7" s="708"/>
      <c r="J7" s="709"/>
      <c r="K7" s="704"/>
      <c r="L7" s="705"/>
      <c r="M7" s="705"/>
      <c r="N7" s="705"/>
      <c r="O7" s="705"/>
      <c r="P7" s="705"/>
      <c r="Q7" s="705"/>
      <c r="R7" s="705"/>
      <c r="S7" s="705"/>
      <c r="T7" s="706"/>
    </row>
    <row r="8" spans="1:20" ht="33" customHeight="1">
      <c r="A8" s="659"/>
      <c r="B8" s="734"/>
      <c r="C8" s="729"/>
      <c r="D8" s="707" t="s">
        <v>168</v>
      </c>
      <c r="E8" s="694"/>
      <c r="F8" s="693" t="s">
        <v>169</v>
      </c>
      <c r="G8" s="694"/>
      <c r="H8" s="693" t="s">
        <v>170</v>
      </c>
      <c r="I8" s="694"/>
      <c r="J8" s="693" t="s">
        <v>171</v>
      </c>
      <c r="K8" s="696" t="s">
        <v>172</v>
      </c>
      <c r="L8" s="696"/>
      <c r="M8" s="696"/>
      <c r="N8" s="696" t="s">
        <v>173</v>
      </c>
      <c r="O8" s="696"/>
      <c r="P8" s="696"/>
      <c r="Q8" s="693" t="s">
        <v>174</v>
      </c>
      <c r="R8" s="695" t="s">
        <v>175</v>
      </c>
      <c r="S8" s="695" t="s">
        <v>176</v>
      </c>
      <c r="T8" s="693" t="s">
        <v>177</v>
      </c>
    </row>
    <row r="9" spans="1:20" ht="18.75" customHeight="1">
      <c r="A9" s="659"/>
      <c r="B9" s="734"/>
      <c r="C9" s="729"/>
      <c r="D9" s="707" t="s">
        <v>178</v>
      </c>
      <c r="E9" s="693" t="s">
        <v>179</v>
      </c>
      <c r="F9" s="693" t="s">
        <v>178</v>
      </c>
      <c r="G9" s="693" t="s">
        <v>179</v>
      </c>
      <c r="H9" s="693" t="s">
        <v>178</v>
      </c>
      <c r="I9" s="693" t="s">
        <v>180</v>
      </c>
      <c r="J9" s="693"/>
      <c r="K9" s="696"/>
      <c r="L9" s="696"/>
      <c r="M9" s="696"/>
      <c r="N9" s="696"/>
      <c r="O9" s="696"/>
      <c r="P9" s="696"/>
      <c r="Q9" s="693"/>
      <c r="R9" s="695"/>
      <c r="S9" s="695"/>
      <c r="T9" s="693"/>
    </row>
    <row r="10" spans="1:20" ht="23.25" customHeight="1">
      <c r="A10" s="661"/>
      <c r="B10" s="735"/>
      <c r="C10" s="730"/>
      <c r="D10" s="707"/>
      <c r="E10" s="693"/>
      <c r="F10" s="693"/>
      <c r="G10" s="693"/>
      <c r="H10" s="693"/>
      <c r="I10" s="693"/>
      <c r="J10" s="693"/>
      <c r="K10" s="244" t="s">
        <v>181</v>
      </c>
      <c r="L10" s="244" t="s">
        <v>156</v>
      </c>
      <c r="M10" s="244" t="s">
        <v>182</v>
      </c>
      <c r="N10" s="244" t="s">
        <v>181</v>
      </c>
      <c r="O10" s="244" t="s">
        <v>183</v>
      </c>
      <c r="P10" s="244" t="s">
        <v>184</v>
      </c>
      <c r="Q10" s="693"/>
      <c r="R10" s="695"/>
      <c r="S10" s="695"/>
      <c r="T10" s="693"/>
    </row>
    <row r="11" spans="1:32" s="201" customFormat="1" ht="17.25" customHeight="1">
      <c r="A11" s="731" t="s">
        <v>6</v>
      </c>
      <c r="B11" s="732"/>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21" t="s">
        <v>325</v>
      </c>
      <c r="B12" s="722"/>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24" t="s">
        <v>301</v>
      </c>
      <c r="B13" s="725"/>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27" t="s">
        <v>185</v>
      </c>
      <c r="B14" s="70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270</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302</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273</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274</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275</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276</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281</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283</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284</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285</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287</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289</v>
      </c>
      <c r="AI28" s="190">
        <f>82/88</f>
        <v>0.9318181818181818</v>
      </c>
    </row>
    <row r="29" spans="1:20" ht="15.75" customHeight="1">
      <c r="A29" s="202"/>
      <c r="B29" s="719" t="s">
        <v>313</v>
      </c>
      <c r="C29" s="719"/>
      <c r="D29" s="719"/>
      <c r="E29" s="719"/>
      <c r="F29" s="258"/>
      <c r="G29" s="258"/>
      <c r="H29" s="258"/>
      <c r="I29" s="258"/>
      <c r="J29" s="258"/>
      <c r="K29" s="258"/>
      <c r="L29" s="206"/>
      <c r="M29" s="718" t="s">
        <v>326</v>
      </c>
      <c r="N29" s="718"/>
      <c r="O29" s="718"/>
      <c r="P29" s="718"/>
      <c r="Q29" s="718"/>
      <c r="R29" s="718"/>
      <c r="S29" s="718"/>
      <c r="T29" s="718"/>
    </row>
    <row r="30" spans="1:20" ht="18.75" customHeight="1">
      <c r="A30" s="202"/>
      <c r="B30" s="720" t="s">
        <v>158</v>
      </c>
      <c r="C30" s="720"/>
      <c r="D30" s="720"/>
      <c r="E30" s="720"/>
      <c r="F30" s="205"/>
      <c r="G30" s="205"/>
      <c r="H30" s="205"/>
      <c r="I30" s="205"/>
      <c r="J30" s="205"/>
      <c r="K30" s="205"/>
      <c r="L30" s="206"/>
      <c r="M30" s="723" t="s">
        <v>159</v>
      </c>
      <c r="N30" s="723"/>
      <c r="O30" s="723"/>
      <c r="P30" s="723"/>
      <c r="Q30" s="723"/>
      <c r="R30" s="723"/>
      <c r="S30" s="723"/>
      <c r="T30" s="723"/>
    </row>
    <row r="31" spans="1:20" ht="18.75">
      <c r="A31" s="208"/>
      <c r="B31" s="674"/>
      <c r="C31" s="674"/>
      <c r="D31" s="674"/>
      <c r="E31" s="674"/>
      <c r="F31" s="209"/>
      <c r="G31" s="209"/>
      <c r="H31" s="209"/>
      <c r="I31" s="209"/>
      <c r="J31" s="209"/>
      <c r="K31" s="209"/>
      <c r="L31" s="209"/>
      <c r="M31" s="675"/>
      <c r="N31" s="675"/>
      <c r="O31" s="675"/>
      <c r="P31" s="675"/>
      <c r="Q31" s="675"/>
      <c r="R31" s="675"/>
      <c r="S31" s="675"/>
      <c r="T31" s="675"/>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26" t="s">
        <v>292</v>
      </c>
      <c r="C33" s="726"/>
      <c r="D33" s="726"/>
      <c r="E33" s="726"/>
      <c r="F33" s="726"/>
      <c r="G33" s="259"/>
      <c r="H33" s="259"/>
      <c r="I33" s="259"/>
      <c r="J33" s="259"/>
      <c r="K33" s="259"/>
      <c r="L33" s="259"/>
      <c r="M33" s="259"/>
      <c r="N33" s="726" t="s">
        <v>292</v>
      </c>
      <c r="O33" s="726"/>
      <c r="P33" s="726"/>
      <c r="Q33" s="726"/>
      <c r="R33" s="726"/>
      <c r="S33" s="726"/>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72" t="s">
        <v>248</v>
      </c>
      <c r="C35" s="572"/>
      <c r="D35" s="572"/>
      <c r="E35" s="572"/>
      <c r="F35" s="210"/>
      <c r="G35" s="210"/>
      <c r="H35" s="210"/>
      <c r="I35" s="182"/>
      <c r="J35" s="182"/>
      <c r="K35" s="182"/>
      <c r="L35" s="182"/>
      <c r="M35" s="573" t="s">
        <v>249</v>
      </c>
      <c r="N35" s="573"/>
      <c r="O35" s="573"/>
      <c r="P35" s="573"/>
      <c r="Q35" s="573"/>
      <c r="R35" s="573"/>
      <c r="S35" s="573"/>
      <c r="T35" s="573"/>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134</v>
      </c>
    </row>
    <row r="39" spans="2:8" s="262" customFormat="1" ht="15" hidden="1">
      <c r="B39" s="263" t="s">
        <v>186</v>
      </c>
      <c r="C39" s="263"/>
      <c r="D39" s="263"/>
      <c r="E39" s="263"/>
      <c r="F39" s="263"/>
      <c r="G39" s="263"/>
      <c r="H39" s="263"/>
    </row>
    <row r="40" spans="2:8" s="264" customFormat="1" ht="15" hidden="1">
      <c r="B40" s="263" t="s">
        <v>187</v>
      </c>
      <c r="C40" s="189"/>
      <c r="D40" s="189"/>
      <c r="E40" s="189"/>
      <c r="F40" s="189"/>
      <c r="G40" s="189"/>
      <c r="H40" s="189"/>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42" t="s">
        <v>188</v>
      </c>
      <c r="B1" s="742"/>
      <c r="C1" s="742"/>
      <c r="D1" s="745" t="s">
        <v>365</v>
      </c>
      <c r="E1" s="745"/>
      <c r="F1" s="745"/>
      <c r="G1" s="745"/>
      <c r="H1" s="745"/>
      <c r="I1" s="745"/>
      <c r="J1" s="746" t="s">
        <v>366</v>
      </c>
      <c r="K1" s="747"/>
      <c r="L1" s="747"/>
    </row>
    <row r="2" spans="1:12" ht="34.5" customHeight="1">
      <c r="A2" s="748" t="s">
        <v>327</v>
      </c>
      <c r="B2" s="748"/>
      <c r="C2" s="748"/>
      <c r="D2" s="745"/>
      <c r="E2" s="745"/>
      <c r="F2" s="745"/>
      <c r="G2" s="745"/>
      <c r="H2" s="745"/>
      <c r="I2" s="745"/>
      <c r="J2" s="749" t="s">
        <v>367</v>
      </c>
      <c r="K2" s="750"/>
      <c r="L2" s="750"/>
    </row>
    <row r="3" spans="1:12" ht="15" customHeight="1">
      <c r="A3" s="265" t="s">
        <v>257</v>
      </c>
      <c r="B3" s="174"/>
      <c r="C3" s="751"/>
      <c r="D3" s="751"/>
      <c r="E3" s="751"/>
      <c r="F3" s="751"/>
      <c r="G3" s="751"/>
      <c r="H3" s="751"/>
      <c r="I3" s="751"/>
      <c r="J3" s="743"/>
      <c r="K3" s="744"/>
      <c r="L3" s="744"/>
    </row>
    <row r="4" spans="1:12" ht="15.75" customHeight="1">
      <c r="A4" s="266"/>
      <c r="B4" s="266"/>
      <c r="C4" s="267"/>
      <c r="D4" s="267"/>
      <c r="E4" s="170"/>
      <c r="F4" s="170"/>
      <c r="G4" s="170"/>
      <c r="H4" s="268"/>
      <c r="I4" s="268"/>
      <c r="J4" s="752" t="s">
        <v>189</v>
      </c>
      <c r="K4" s="752"/>
      <c r="L4" s="752"/>
    </row>
    <row r="5" spans="1:12" s="269" customFormat="1" ht="28.5" customHeight="1">
      <c r="A5" s="737" t="s">
        <v>57</v>
      </c>
      <c r="B5" s="737"/>
      <c r="C5" s="652" t="s">
        <v>31</v>
      </c>
      <c r="D5" s="652" t="s">
        <v>190</v>
      </c>
      <c r="E5" s="652"/>
      <c r="F5" s="652"/>
      <c r="G5" s="652"/>
      <c r="H5" s="652" t="s">
        <v>191</v>
      </c>
      <c r="I5" s="652"/>
      <c r="J5" s="652" t="s">
        <v>192</v>
      </c>
      <c r="K5" s="652"/>
      <c r="L5" s="652"/>
    </row>
    <row r="6" spans="1:13" s="269" customFormat="1" ht="80.25" customHeight="1">
      <c r="A6" s="737"/>
      <c r="B6" s="737"/>
      <c r="C6" s="652"/>
      <c r="D6" s="215" t="s">
        <v>193</v>
      </c>
      <c r="E6" s="215" t="s">
        <v>194</v>
      </c>
      <c r="F6" s="215" t="s">
        <v>328</v>
      </c>
      <c r="G6" s="215" t="s">
        <v>195</v>
      </c>
      <c r="H6" s="215" t="s">
        <v>196</v>
      </c>
      <c r="I6" s="215" t="s">
        <v>197</v>
      </c>
      <c r="J6" s="215" t="s">
        <v>198</v>
      </c>
      <c r="K6" s="215" t="s">
        <v>199</v>
      </c>
      <c r="L6" s="215" t="s">
        <v>200</v>
      </c>
      <c r="M6" s="270"/>
    </row>
    <row r="7" spans="1:12" s="271" customFormat="1" ht="16.5" customHeight="1">
      <c r="A7" s="753" t="s">
        <v>6</v>
      </c>
      <c r="B7" s="753"/>
      <c r="C7" s="221">
        <v>1</v>
      </c>
      <c r="D7" s="221">
        <v>2</v>
      </c>
      <c r="E7" s="221">
        <v>3</v>
      </c>
      <c r="F7" s="221">
        <v>4</v>
      </c>
      <c r="G7" s="221">
        <v>5</v>
      </c>
      <c r="H7" s="221">
        <v>6</v>
      </c>
      <c r="I7" s="221">
        <v>7</v>
      </c>
      <c r="J7" s="221">
        <v>8</v>
      </c>
      <c r="K7" s="221">
        <v>9</v>
      </c>
      <c r="L7" s="221">
        <v>10</v>
      </c>
    </row>
    <row r="8" spans="1:12" s="271" customFormat="1" ht="16.5" customHeight="1">
      <c r="A8" s="740" t="s">
        <v>325</v>
      </c>
      <c r="B8" s="741"/>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38" t="s">
        <v>301</v>
      </c>
      <c r="B9" s="739"/>
      <c r="C9" s="224">
        <v>9</v>
      </c>
      <c r="D9" s="224">
        <v>2</v>
      </c>
      <c r="E9" s="224">
        <v>2</v>
      </c>
      <c r="F9" s="224">
        <v>0</v>
      </c>
      <c r="G9" s="224">
        <v>5</v>
      </c>
      <c r="H9" s="224">
        <v>8</v>
      </c>
      <c r="I9" s="224">
        <v>0</v>
      </c>
      <c r="J9" s="224">
        <v>8</v>
      </c>
      <c r="K9" s="224">
        <v>1</v>
      </c>
      <c r="L9" s="224">
        <v>0</v>
      </c>
    </row>
    <row r="10" spans="1:12" s="271" customFormat="1" ht="16.5" customHeight="1">
      <c r="A10" s="754" t="s">
        <v>185</v>
      </c>
      <c r="B10" s="754"/>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270</v>
      </c>
      <c r="C13" s="272">
        <f aca="true" t="shared" si="3" ref="C13:C23">D13+E13+F13+G13</f>
        <v>0</v>
      </c>
      <c r="D13" s="231">
        <v>0</v>
      </c>
      <c r="E13" s="231">
        <v>0</v>
      </c>
      <c r="F13" s="231">
        <v>0</v>
      </c>
      <c r="G13" s="231">
        <v>0</v>
      </c>
      <c r="H13" s="231">
        <v>0</v>
      </c>
      <c r="I13" s="231">
        <v>0</v>
      </c>
      <c r="J13" s="273">
        <v>0</v>
      </c>
      <c r="K13" s="273">
        <v>0</v>
      </c>
      <c r="L13" s="273">
        <v>0</v>
      </c>
      <c r="AF13" s="271" t="s">
        <v>269</v>
      </c>
    </row>
    <row r="14" spans="1:37" s="271" customFormat="1" ht="16.5" customHeight="1">
      <c r="A14" s="274">
        <v>2</v>
      </c>
      <c r="B14" s="68" t="s">
        <v>302</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273</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274</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329</v>
      </c>
      <c r="C17" s="272">
        <f t="shared" si="3"/>
        <v>1</v>
      </c>
      <c r="D17" s="231">
        <v>0</v>
      </c>
      <c r="E17" s="231">
        <v>0</v>
      </c>
      <c r="F17" s="231">
        <v>0</v>
      </c>
      <c r="G17" s="231">
        <v>1</v>
      </c>
      <c r="H17" s="231">
        <v>1</v>
      </c>
      <c r="I17" s="231">
        <v>0</v>
      </c>
      <c r="J17" s="273">
        <v>1</v>
      </c>
      <c r="K17" s="273">
        <v>0</v>
      </c>
      <c r="L17" s="273">
        <v>0</v>
      </c>
      <c r="AF17" s="199" t="s">
        <v>272</v>
      </c>
    </row>
    <row r="18" spans="1:12" s="271" customFormat="1" ht="16.5" customHeight="1">
      <c r="A18" s="274">
        <v>6</v>
      </c>
      <c r="B18" s="68" t="s">
        <v>276</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281</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283</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284</v>
      </c>
      <c r="C21" s="272">
        <f t="shared" si="3"/>
        <v>0</v>
      </c>
      <c r="D21" s="231">
        <v>0</v>
      </c>
      <c r="E21" s="231">
        <v>0</v>
      </c>
      <c r="F21" s="231">
        <v>0</v>
      </c>
      <c r="G21" s="231">
        <v>0</v>
      </c>
      <c r="H21" s="231">
        <v>0</v>
      </c>
      <c r="I21" s="231">
        <v>0</v>
      </c>
      <c r="J21" s="273">
        <v>0</v>
      </c>
      <c r="K21" s="273">
        <v>0</v>
      </c>
      <c r="L21" s="273">
        <v>0</v>
      </c>
      <c r="AJ21" s="271" t="s">
        <v>277</v>
      </c>
      <c r="AK21" s="271" t="s">
        <v>278</v>
      </c>
      <c r="AL21" s="271" t="s">
        <v>279</v>
      </c>
      <c r="AM21" s="199" t="s">
        <v>280</v>
      </c>
    </row>
    <row r="22" spans="1:39" s="271" customFormat="1" ht="16.5" customHeight="1">
      <c r="A22" s="274">
        <v>10</v>
      </c>
      <c r="B22" s="68" t="s">
        <v>285</v>
      </c>
      <c r="C22" s="272">
        <f t="shared" si="3"/>
        <v>1</v>
      </c>
      <c r="D22" s="231">
        <v>0</v>
      </c>
      <c r="E22" s="231">
        <v>1</v>
      </c>
      <c r="F22" s="231">
        <v>0</v>
      </c>
      <c r="G22" s="231">
        <v>0</v>
      </c>
      <c r="H22" s="231">
        <v>1</v>
      </c>
      <c r="I22" s="231">
        <v>0</v>
      </c>
      <c r="J22" s="273">
        <v>1</v>
      </c>
      <c r="K22" s="273">
        <v>0</v>
      </c>
      <c r="L22" s="273">
        <v>0</v>
      </c>
      <c r="AM22" s="199" t="s">
        <v>282</v>
      </c>
    </row>
    <row r="23" spans="1:12" s="271" customFormat="1" ht="16.5" customHeight="1">
      <c r="A23" s="274">
        <v>11</v>
      </c>
      <c r="B23" s="68" t="s">
        <v>287</v>
      </c>
      <c r="C23" s="272">
        <f t="shared" si="3"/>
        <v>0</v>
      </c>
      <c r="D23" s="231">
        <v>0</v>
      </c>
      <c r="E23" s="231">
        <v>0</v>
      </c>
      <c r="F23" s="231">
        <v>0</v>
      </c>
      <c r="G23" s="231">
        <v>0</v>
      </c>
      <c r="H23" s="231">
        <v>0</v>
      </c>
      <c r="I23" s="231">
        <v>0</v>
      </c>
      <c r="J23" s="273">
        <v>0</v>
      </c>
      <c r="K23" s="273">
        <v>0</v>
      </c>
      <c r="L23" s="273">
        <v>0</v>
      </c>
    </row>
    <row r="24" ht="9" customHeight="1">
      <c r="AJ24" s="233" t="s">
        <v>277</v>
      </c>
    </row>
    <row r="25" spans="1:36" ht="15.75" customHeight="1">
      <c r="A25" s="687" t="s">
        <v>330</v>
      </c>
      <c r="B25" s="687"/>
      <c r="C25" s="687"/>
      <c r="D25" s="687"/>
      <c r="E25" s="182"/>
      <c r="F25" s="692" t="s">
        <v>288</v>
      </c>
      <c r="G25" s="692"/>
      <c r="H25" s="692"/>
      <c r="I25" s="692"/>
      <c r="J25" s="692"/>
      <c r="K25" s="692"/>
      <c r="L25" s="692"/>
      <c r="AJ25" s="190" t="s">
        <v>286</v>
      </c>
    </row>
    <row r="26" spans="1:44" ht="15" customHeight="1">
      <c r="A26" s="677" t="s">
        <v>158</v>
      </c>
      <c r="B26" s="677"/>
      <c r="C26" s="677"/>
      <c r="D26" s="677"/>
      <c r="E26" s="183"/>
      <c r="F26" s="680" t="s">
        <v>159</v>
      </c>
      <c r="G26" s="680"/>
      <c r="H26" s="680"/>
      <c r="I26" s="680"/>
      <c r="J26" s="680"/>
      <c r="K26" s="680"/>
      <c r="L26" s="680"/>
      <c r="AR26" s="190"/>
    </row>
    <row r="27" spans="1:12" s="170" customFormat="1" ht="18.75">
      <c r="A27" s="674"/>
      <c r="B27" s="674"/>
      <c r="C27" s="674"/>
      <c r="D27" s="674"/>
      <c r="E27" s="182"/>
      <c r="F27" s="675"/>
      <c r="G27" s="675"/>
      <c r="H27" s="675"/>
      <c r="I27" s="675"/>
      <c r="J27" s="675"/>
      <c r="K27" s="675"/>
      <c r="L27" s="675"/>
    </row>
    <row r="28" spans="1:35" ht="18">
      <c r="A28" s="187"/>
      <c r="B28" s="187"/>
      <c r="C28" s="182"/>
      <c r="D28" s="182"/>
      <c r="E28" s="182"/>
      <c r="F28" s="182"/>
      <c r="G28" s="182"/>
      <c r="H28" s="182"/>
      <c r="I28" s="182"/>
      <c r="J28" s="182"/>
      <c r="K28" s="182"/>
      <c r="L28" s="182"/>
      <c r="AG28" s="233" t="s">
        <v>289</v>
      </c>
      <c r="AI28" s="190">
        <f>82/88</f>
        <v>0.9318181818181818</v>
      </c>
    </row>
    <row r="29" spans="1:12" ht="18">
      <c r="A29" s="187"/>
      <c r="B29" s="736" t="s">
        <v>292</v>
      </c>
      <c r="C29" s="736"/>
      <c r="D29" s="182"/>
      <c r="E29" s="182"/>
      <c r="F29" s="182"/>
      <c r="G29" s="182"/>
      <c r="H29" s="736" t="s">
        <v>292</v>
      </c>
      <c r="I29" s="736"/>
      <c r="J29" s="736"/>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202</v>
      </c>
      <c r="B32" s="185"/>
      <c r="C32" s="186"/>
      <c r="D32" s="186"/>
      <c r="E32" s="186"/>
      <c r="F32" s="186"/>
      <c r="G32" s="186"/>
      <c r="H32" s="186"/>
      <c r="I32" s="186"/>
      <c r="J32" s="186"/>
      <c r="K32" s="186"/>
      <c r="L32" s="186"/>
    </row>
    <row r="33" spans="1:12" s="211" customFormat="1" ht="18.75" hidden="1">
      <c r="A33" s="237"/>
      <c r="B33" s="279" t="s">
        <v>203</v>
      </c>
      <c r="C33" s="279"/>
      <c r="D33" s="279"/>
      <c r="E33" s="236"/>
      <c r="F33" s="236"/>
      <c r="G33" s="236"/>
      <c r="H33" s="236"/>
      <c r="I33" s="236"/>
      <c r="J33" s="236"/>
      <c r="K33" s="236"/>
      <c r="L33" s="236"/>
    </row>
    <row r="34" spans="1:12" s="211" customFormat="1" ht="18.75" hidden="1">
      <c r="A34" s="237"/>
      <c r="B34" s="279" t="s">
        <v>204</v>
      </c>
      <c r="C34" s="279"/>
      <c r="D34" s="279"/>
      <c r="E34" s="279"/>
      <c r="F34" s="236"/>
      <c r="G34" s="236"/>
      <c r="H34" s="236"/>
      <c r="I34" s="236"/>
      <c r="J34" s="236"/>
      <c r="K34" s="236"/>
      <c r="L34" s="236"/>
    </row>
    <row r="35" spans="1:12" s="211" customFormat="1" ht="18.75" hidden="1">
      <c r="A35" s="237"/>
      <c r="B35" s="236" t="s">
        <v>205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72" t="s">
        <v>248</v>
      </c>
      <c r="B37" s="572"/>
      <c r="C37" s="572"/>
      <c r="D37" s="572"/>
      <c r="E37" s="210"/>
      <c r="F37" s="573" t="s">
        <v>249</v>
      </c>
      <c r="G37" s="573"/>
      <c r="H37" s="573"/>
      <c r="I37" s="573"/>
      <c r="J37" s="573"/>
      <c r="K37" s="573"/>
      <c r="L37" s="573"/>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55" t="s">
        <v>206</v>
      </c>
      <c r="B1" s="755"/>
      <c r="C1" s="755"/>
      <c r="D1" s="745" t="s">
        <v>368</v>
      </c>
      <c r="E1" s="745"/>
      <c r="F1" s="745"/>
      <c r="G1" s="745"/>
      <c r="H1" s="745"/>
      <c r="I1" s="170"/>
      <c r="J1" s="171" t="s">
        <v>362</v>
      </c>
      <c r="K1" s="280"/>
      <c r="L1" s="280"/>
    </row>
    <row r="2" spans="1:12" ht="15.75" customHeight="1">
      <c r="A2" s="759" t="s">
        <v>303</v>
      </c>
      <c r="B2" s="759"/>
      <c r="C2" s="759"/>
      <c r="D2" s="745"/>
      <c r="E2" s="745"/>
      <c r="F2" s="745"/>
      <c r="G2" s="745"/>
      <c r="H2" s="745"/>
      <c r="I2" s="170"/>
      <c r="J2" s="281" t="s">
        <v>304</v>
      </c>
      <c r="K2" s="281"/>
      <c r="L2" s="281"/>
    </row>
    <row r="3" spans="1:12" ht="18.75" customHeight="1">
      <c r="A3" s="665" t="s">
        <v>255</v>
      </c>
      <c r="B3" s="665"/>
      <c r="C3" s="665"/>
      <c r="D3" s="167"/>
      <c r="E3" s="167"/>
      <c r="F3" s="167"/>
      <c r="G3" s="167"/>
      <c r="H3" s="167"/>
      <c r="I3" s="170"/>
      <c r="J3" s="174" t="s">
        <v>361</v>
      </c>
      <c r="K3" s="174"/>
      <c r="L3" s="174"/>
    </row>
    <row r="4" spans="1:12" ht="15.75" customHeight="1">
      <c r="A4" s="756" t="s">
        <v>331</v>
      </c>
      <c r="B4" s="756"/>
      <c r="C4" s="756"/>
      <c r="D4" s="771"/>
      <c r="E4" s="771"/>
      <c r="F4" s="771"/>
      <c r="G4" s="771"/>
      <c r="H4" s="771"/>
      <c r="I4" s="170"/>
      <c r="J4" s="282" t="s">
        <v>296</v>
      </c>
      <c r="K4" s="282"/>
      <c r="L4" s="282"/>
    </row>
    <row r="5" spans="1:12" ht="15.75">
      <c r="A5" s="760"/>
      <c r="B5" s="760"/>
      <c r="C5" s="166"/>
      <c r="D5" s="170"/>
      <c r="E5" s="170"/>
      <c r="F5" s="170"/>
      <c r="G5" s="170"/>
      <c r="H5" s="283"/>
      <c r="I5" s="772" t="s">
        <v>332</v>
      </c>
      <c r="J5" s="772"/>
      <c r="K5" s="772"/>
      <c r="L5" s="772"/>
    </row>
    <row r="6" spans="1:12" ht="18.75" customHeight="1">
      <c r="A6" s="657" t="s">
        <v>57</v>
      </c>
      <c r="B6" s="658"/>
      <c r="C6" s="767" t="s">
        <v>207</v>
      </c>
      <c r="D6" s="678" t="s">
        <v>208</v>
      </c>
      <c r="E6" s="770"/>
      <c r="F6" s="679"/>
      <c r="G6" s="678" t="s">
        <v>209</v>
      </c>
      <c r="H6" s="770"/>
      <c r="I6" s="770"/>
      <c r="J6" s="770"/>
      <c r="K6" s="770"/>
      <c r="L6" s="679"/>
    </row>
    <row r="7" spans="1:12" ht="15.75" customHeight="1">
      <c r="A7" s="659"/>
      <c r="B7" s="660"/>
      <c r="C7" s="769"/>
      <c r="D7" s="678" t="s">
        <v>7</v>
      </c>
      <c r="E7" s="770"/>
      <c r="F7" s="679"/>
      <c r="G7" s="767" t="s">
        <v>30</v>
      </c>
      <c r="H7" s="678" t="s">
        <v>7</v>
      </c>
      <c r="I7" s="770"/>
      <c r="J7" s="770"/>
      <c r="K7" s="770"/>
      <c r="L7" s="679"/>
    </row>
    <row r="8" spans="1:12" ht="14.25" customHeight="1">
      <c r="A8" s="659"/>
      <c r="B8" s="660"/>
      <c r="C8" s="769"/>
      <c r="D8" s="767" t="s">
        <v>210</v>
      </c>
      <c r="E8" s="767" t="s">
        <v>211</v>
      </c>
      <c r="F8" s="767" t="s">
        <v>212</v>
      </c>
      <c r="G8" s="769"/>
      <c r="H8" s="767" t="s">
        <v>213</v>
      </c>
      <c r="I8" s="767" t="s">
        <v>214</v>
      </c>
      <c r="J8" s="767" t="s">
        <v>215</v>
      </c>
      <c r="K8" s="767" t="s">
        <v>216</v>
      </c>
      <c r="L8" s="767" t="s">
        <v>217</v>
      </c>
    </row>
    <row r="9" spans="1:12" ht="77.25" customHeight="1">
      <c r="A9" s="661"/>
      <c r="B9" s="662"/>
      <c r="C9" s="768"/>
      <c r="D9" s="768"/>
      <c r="E9" s="768"/>
      <c r="F9" s="768"/>
      <c r="G9" s="768"/>
      <c r="H9" s="768"/>
      <c r="I9" s="768"/>
      <c r="J9" s="768"/>
      <c r="K9" s="768"/>
      <c r="L9" s="768"/>
    </row>
    <row r="10" spans="1:12" s="271" customFormat="1" ht="16.5" customHeight="1">
      <c r="A10" s="761" t="s">
        <v>6</v>
      </c>
      <c r="B10" s="762"/>
      <c r="C10" s="220">
        <v>1</v>
      </c>
      <c r="D10" s="220">
        <v>2</v>
      </c>
      <c r="E10" s="220">
        <v>3</v>
      </c>
      <c r="F10" s="220">
        <v>4</v>
      </c>
      <c r="G10" s="220">
        <v>5</v>
      </c>
      <c r="H10" s="220">
        <v>6</v>
      </c>
      <c r="I10" s="220">
        <v>7</v>
      </c>
      <c r="J10" s="220">
        <v>8</v>
      </c>
      <c r="K10" s="221" t="s">
        <v>63</v>
      </c>
      <c r="L10" s="221" t="s">
        <v>83</v>
      </c>
    </row>
    <row r="11" spans="1:12" s="271" customFormat="1" ht="16.5" customHeight="1">
      <c r="A11" s="765" t="s">
        <v>300</v>
      </c>
      <c r="B11" s="76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63" t="s">
        <v>301</v>
      </c>
      <c r="B12" s="764"/>
      <c r="C12" s="224">
        <v>12</v>
      </c>
      <c r="D12" s="224">
        <v>0</v>
      </c>
      <c r="E12" s="224">
        <v>1</v>
      </c>
      <c r="F12" s="224">
        <v>11</v>
      </c>
      <c r="G12" s="224">
        <v>10</v>
      </c>
      <c r="H12" s="224">
        <v>0</v>
      </c>
      <c r="I12" s="224">
        <v>0</v>
      </c>
      <c r="J12" s="224">
        <v>0</v>
      </c>
      <c r="K12" s="224">
        <v>6</v>
      </c>
      <c r="L12" s="224">
        <v>4</v>
      </c>
    </row>
    <row r="13" spans="1:32" s="271" customFormat="1" ht="16.5" customHeight="1">
      <c r="A13" s="757" t="s">
        <v>30</v>
      </c>
      <c r="B13" s="75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269</v>
      </c>
    </row>
    <row r="14" spans="1:37" s="271" customFormat="1" ht="16.5" customHeight="1">
      <c r="A14" s="274" t="s">
        <v>0</v>
      </c>
      <c r="B14" s="198" t="s">
        <v>136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270</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271</v>
      </c>
      <c r="C17" s="226">
        <f t="shared" si="2"/>
        <v>1</v>
      </c>
      <c r="D17" s="231">
        <v>0</v>
      </c>
      <c r="E17" s="231">
        <v>0</v>
      </c>
      <c r="F17" s="231">
        <v>1</v>
      </c>
      <c r="G17" s="226">
        <f t="shared" si="1"/>
        <v>1</v>
      </c>
      <c r="H17" s="231">
        <v>0</v>
      </c>
      <c r="I17" s="231">
        <v>0</v>
      </c>
      <c r="J17" s="273">
        <v>0</v>
      </c>
      <c r="K17" s="273">
        <v>0</v>
      </c>
      <c r="L17" s="273">
        <v>1</v>
      </c>
      <c r="M17" s="285"/>
      <c r="AF17" s="199" t="s">
        <v>272</v>
      </c>
    </row>
    <row r="18" spans="1:14" s="271" customFormat="1" ht="15.75" customHeight="1">
      <c r="A18" s="200">
        <v>3</v>
      </c>
      <c r="B18" s="68" t="s">
        <v>273</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274</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275</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276</v>
      </c>
      <c r="C21" s="226">
        <f t="shared" si="2"/>
        <v>0</v>
      </c>
      <c r="D21" s="231">
        <v>0</v>
      </c>
      <c r="E21" s="231">
        <v>0</v>
      </c>
      <c r="F21" s="231">
        <v>0</v>
      </c>
      <c r="G21" s="226">
        <f t="shared" si="1"/>
        <v>0</v>
      </c>
      <c r="H21" s="231">
        <v>0</v>
      </c>
      <c r="I21" s="231">
        <v>0</v>
      </c>
      <c r="J21" s="273">
        <v>0</v>
      </c>
      <c r="K21" s="273">
        <v>0</v>
      </c>
      <c r="L21" s="273">
        <v>0</v>
      </c>
      <c r="M21" s="285"/>
      <c r="AJ21" s="271" t="s">
        <v>277</v>
      </c>
      <c r="AK21" s="271" t="s">
        <v>278</v>
      </c>
      <c r="AL21" s="271" t="s">
        <v>279</v>
      </c>
      <c r="AM21" s="199" t="s">
        <v>280</v>
      </c>
    </row>
    <row r="22" spans="1:39" s="271" customFormat="1" ht="15.75" customHeight="1">
      <c r="A22" s="200">
        <v>7</v>
      </c>
      <c r="B22" s="68" t="s">
        <v>281</v>
      </c>
      <c r="C22" s="226">
        <f t="shared" si="2"/>
        <v>0</v>
      </c>
      <c r="D22" s="231">
        <v>0</v>
      </c>
      <c r="E22" s="231">
        <v>0</v>
      </c>
      <c r="F22" s="231">
        <v>0</v>
      </c>
      <c r="G22" s="226">
        <f t="shared" si="1"/>
        <v>0</v>
      </c>
      <c r="H22" s="231">
        <v>0</v>
      </c>
      <c r="I22" s="231">
        <v>0</v>
      </c>
      <c r="J22" s="273">
        <v>0</v>
      </c>
      <c r="K22" s="273">
        <v>0</v>
      </c>
      <c r="L22" s="273">
        <v>0</v>
      </c>
      <c r="M22" s="285"/>
      <c r="N22" s="178"/>
      <c r="AM22" s="199" t="s">
        <v>282</v>
      </c>
    </row>
    <row r="23" spans="1:13" s="271" customFormat="1" ht="15.75" customHeight="1">
      <c r="A23" s="200">
        <v>8</v>
      </c>
      <c r="B23" s="68" t="s">
        <v>283</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284</v>
      </c>
      <c r="C24" s="226">
        <f t="shared" si="2"/>
        <v>0</v>
      </c>
      <c r="D24" s="231">
        <v>0</v>
      </c>
      <c r="E24" s="231">
        <v>0</v>
      </c>
      <c r="F24" s="231">
        <v>0</v>
      </c>
      <c r="G24" s="226">
        <f t="shared" si="1"/>
        <v>0</v>
      </c>
      <c r="H24" s="231">
        <v>0</v>
      </c>
      <c r="I24" s="231">
        <v>0</v>
      </c>
      <c r="J24" s="273">
        <v>0</v>
      </c>
      <c r="K24" s="273">
        <v>0</v>
      </c>
      <c r="L24" s="273">
        <v>0</v>
      </c>
      <c r="M24" s="285"/>
      <c r="AJ24" s="271" t="s">
        <v>277</v>
      </c>
    </row>
    <row r="25" spans="1:36" s="271" customFormat="1" ht="15.75" customHeight="1">
      <c r="A25" s="200">
        <v>10</v>
      </c>
      <c r="B25" s="68" t="s">
        <v>285</v>
      </c>
      <c r="C25" s="226">
        <f t="shared" si="2"/>
        <v>1</v>
      </c>
      <c r="D25" s="231">
        <v>0</v>
      </c>
      <c r="E25" s="231">
        <v>0</v>
      </c>
      <c r="F25" s="231">
        <v>1</v>
      </c>
      <c r="G25" s="226">
        <f t="shared" si="1"/>
        <v>1</v>
      </c>
      <c r="H25" s="231">
        <v>0</v>
      </c>
      <c r="I25" s="231">
        <v>0</v>
      </c>
      <c r="J25" s="273">
        <v>0</v>
      </c>
      <c r="K25" s="273">
        <v>0</v>
      </c>
      <c r="L25" s="273">
        <v>1</v>
      </c>
      <c r="M25" s="285"/>
      <c r="AJ25" s="199" t="s">
        <v>286</v>
      </c>
    </row>
    <row r="26" spans="1:44" s="271" customFormat="1" ht="15.75" customHeight="1">
      <c r="A26" s="200">
        <v>11</v>
      </c>
      <c r="B26" s="68" t="s">
        <v>287</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87" t="s">
        <v>288</v>
      </c>
      <c r="B28" s="687"/>
      <c r="C28" s="687"/>
      <c r="D28" s="687"/>
      <c r="E28" s="687"/>
      <c r="F28" s="182"/>
      <c r="G28" s="181"/>
      <c r="H28" s="294" t="s">
        <v>333</v>
      </c>
      <c r="I28" s="295"/>
      <c r="J28" s="295"/>
      <c r="K28" s="295"/>
      <c r="L28" s="295"/>
      <c r="AG28" s="233" t="s">
        <v>289</v>
      </c>
      <c r="AI28" s="190">
        <f>82/88</f>
        <v>0.9318181818181818</v>
      </c>
    </row>
    <row r="29" spans="1:12" ht="15" customHeight="1">
      <c r="A29" s="677" t="s">
        <v>4</v>
      </c>
      <c r="B29" s="677"/>
      <c r="C29" s="677"/>
      <c r="D29" s="677"/>
      <c r="E29" s="677"/>
      <c r="F29" s="182"/>
      <c r="G29" s="183"/>
      <c r="H29" s="680" t="s">
        <v>159</v>
      </c>
      <c r="I29" s="680"/>
      <c r="J29" s="680"/>
      <c r="K29" s="680"/>
      <c r="L29" s="680"/>
    </row>
    <row r="30" spans="1:14" s="170" customFormat="1" ht="18.75">
      <c r="A30" s="674"/>
      <c r="B30" s="674"/>
      <c r="C30" s="674"/>
      <c r="D30" s="674"/>
      <c r="E30" s="674"/>
      <c r="F30" s="296"/>
      <c r="G30" s="182"/>
      <c r="H30" s="675"/>
      <c r="I30" s="675"/>
      <c r="J30" s="675"/>
      <c r="K30" s="675"/>
      <c r="L30" s="675"/>
      <c r="M30" s="297"/>
      <c r="N30" s="297"/>
    </row>
    <row r="31" spans="1:12" ht="18">
      <c r="A31" s="182"/>
      <c r="B31" s="182"/>
      <c r="C31" s="182"/>
      <c r="D31" s="182"/>
      <c r="E31" s="182"/>
      <c r="F31" s="182"/>
      <c r="G31" s="182"/>
      <c r="H31" s="182"/>
      <c r="I31" s="182"/>
      <c r="J31" s="182"/>
      <c r="K31" s="182"/>
      <c r="L31" s="298"/>
    </row>
    <row r="32" spans="1:12" ht="18">
      <c r="A32" s="182"/>
      <c r="B32" s="736" t="s">
        <v>292</v>
      </c>
      <c r="C32" s="736"/>
      <c r="D32" s="736"/>
      <c r="E32" s="736"/>
      <c r="F32" s="182"/>
      <c r="G32" s="182"/>
      <c r="H32" s="182"/>
      <c r="I32" s="736" t="s">
        <v>292</v>
      </c>
      <c r="J32" s="736"/>
      <c r="K32" s="736"/>
      <c r="L32" s="298"/>
    </row>
    <row r="33" spans="1:12" ht="10.5" customHeight="1">
      <c r="A33" s="182"/>
      <c r="B33" s="182"/>
      <c r="C33" s="299" t="s">
        <v>291</v>
      </c>
      <c r="D33" s="299"/>
      <c r="E33" s="299"/>
      <c r="F33" s="299"/>
      <c r="G33" s="299"/>
      <c r="H33" s="299"/>
      <c r="I33" s="299"/>
      <c r="J33" s="300" t="s">
        <v>291</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73" t="s">
        <v>218</v>
      </c>
      <c r="C40" s="773"/>
      <c r="D40" s="773"/>
      <c r="E40" s="773"/>
      <c r="F40" s="773"/>
      <c r="G40" s="303"/>
      <c r="H40" s="301"/>
      <c r="I40" s="301"/>
      <c r="J40" s="301"/>
      <c r="K40" s="301"/>
      <c r="L40" s="301"/>
      <c r="M40" s="265"/>
      <c r="N40" s="265"/>
      <c r="O40" s="265"/>
      <c r="P40" s="265"/>
    </row>
    <row r="41" spans="1:12" ht="12.75" customHeight="1" hidden="1">
      <c r="A41" s="182"/>
      <c r="B41" s="279" t="s">
        <v>219</v>
      </c>
      <c r="C41" s="304"/>
      <c r="D41" s="304"/>
      <c r="E41" s="304"/>
      <c r="F41" s="304"/>
      <c r="G41" s="182"/>
      <c r="H41" s="301"/>
      <c r="I41" s="301"/>
      <c r="J41" s="301"/>
      <c r="K41" s="301"/>
      <c r="L41" s="301"/>
    </row>
    <row r="42" spans="1:12" ht="12.75" customHeight="1" hidden="1">
      <c r="A42" s="182"/>
      <c r="B42" s="236" t="s">
        <v>220</v>
      </c>
      <c r="C42" s="304"/>
      <c r="D42" s="304"/>
      <c r="E42" s="304"/>
      <c r="F42" s="304"/>
      <c r="G42" s="182"/>
      <c r="H42" s="301"/>
      <c r="I42" s="301"/>
      <c r="J42" s="301"/>
      <c r="K42" s="301"/>
      <c r="L42" s="301"/>
    </row>
    <row r="43" spans="1:12" ht="18.75">
      <c r="A43" s="572" t="s">
        <v>334</v>
      </c>
      <c r="B43" s="572"/>
      <c r="C43" s="572"/>
      <c r="D43" s="572"/>
      <c r="E43" s="572"/>
      <c r="F43" s="182"/>
      <c r="G43" s="301"/>
      <c r="H43" s="573" t="s">
        <v>249</v>
      </c>
      <c r="I43" s="573"/>
      <c r="J43" s="573"/>
      <c r="K43" s="573"/>
      <c r="L43" s="573"/>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68" t="s">
        <v>221</v>
      </c>
      <c r="B1" s="668"/>
      <c r="C1" s="668"/>
      <c r="D1" s="668"/>
      <c r="E1" s="306"/>
      <c r="F1" s="663" t="s">
        <v>369</v>
      </c>
      <c r="G1" s="663"/>
      <c r="H1" s="663"/>
      <c r="I1" s="663"/>
      <c r="J1" s="663"/>
      <c r="K1" s="663"/>
      <c r="L1" s="663"/>
      <c r="M1" s="663"/>
      <c r="N1" s="663"/>
      <c r="O1" s="663"/>
      <c r="P1" s="307" t="s">
        <v>293</v>
      </c>
      <c r="Q1" s="308"/>
      <c r="R1" s="308"/>
      <c r="S1" s="308"/>
      <c r="T1" s="308"/>
    </row>
    <row r="2" spans="1:20" s="177" customFormat="1" ht="20.25" customHeight="1">
      <c r="A2" s="774" t="s">
        <v>303</v>
      </c>
      <c r="B2" s="774"/>
      <c r="C2" s="774"/>
      <c r="D2" s="774"/>
      <c r="E2" s="306"/>
      <c r="F2" s="663"/>
      <c r="G2" s="663"/>
      <c r="H2" s="663"/>
      <c r="I2" s="663"/>
      <c r="J2" s="663"/>
      <c r="K2" s="663"/>
      <c r="L2" s="663"/>
      <c r="M2" s="663"/>
      <c r="N2" s="663"/>
      <c r="O2" s="663"/>
      <c r="P2" s="308" t="s">
        <v>335</v>
      </c>
      <c r="Q2" s="308"/>
      <c r="R2" s="308"/>
      <c r="S2" s="308"/>
      <c r="T2" s="308"/>
    </row>
    <row r="3" spans="1:20" s="177" customFormat="1" ht="15" customHeight="1">
      <c r="A3" s="774" t="s">
        <v>255</v>
      </c>
      <c r="B3" s="774"/>
      <c r="C3" s="774"/>
      <c r="D3" s="774"/>
      <c r="E3" s="306"/>
      <c r="F3" s="663"/>
      <c r="G3" s="663"/>
      <c r="H3" s="663"/>
      <c r="I3" s="663"/>
      <c r="J3" s="663"/>
      <c r="K3" s="663"/>
      <c r="L3" s="663"/>
      <c r="M3" s="663"/>
      <c r="N3" s="663"/>
      <c r="O3" s="663"/>
      <c r="P3" s="307" t="s">
        <v>361</v>
      </c>
      <c r="Q3" s="307"/>
      <c r="R3" s="307"/>
      <c r="S3" s="309"/>
      <c r="T3" s="309"/>
    </row>
    <row r="4" spans="1:20" s="177" customFormat="1" ht="15.75" customHeight="1">
      <c r="A4" s="789" t="s">
        <v>336</v>
      </c>
      <c r="B4" s="789"/>
      <c r="C4" s="789"/>
      <c r="D4" s="789"/>
      <c r="E4" s="307"/>
      <c r="F4" s="663"/>
      <c r="G4" s="663"/>
      <c r="H4" s="663"/>
      <c r="I4" s="663"/>
      <c r="J4" s="663"/>
      <c r="K4" s="663"/>
      <c r="L4" s="663"/>
      <c r="M4" s="663"/>
      <c r="N4" s="663"/>
      <c r="O4" s="663"/>
      <c r="P4" s="308" t="s">
        <v>305</v>
      </c>
      <c r="Q4" s="307"/>
      <c r="R4" s="307"/>
      <c r="S4" s="309"/>
      <c r="T4" s="309"/>
    </row>
    <row r="5" spans="1:18" s="177" customFormat="1" ht="24" customHeight="1">
      <c r="A5" s="310"/>
      <c r="B5" s="310"/>
      <c r="C5" s="310"/>
      <c r="F5" s="794"/>
      <c r="G5" s="794"/>
      <c r="H5" s="794"/>
      <c r="I5" s="794"/>
      <c r="J5" s="794"/>
      <c r="K5" s="794"/>
      <c r="L5" s="794"/>
      <c r="M5" s="794"/>
      <c r="N5" s="794"/>
      <c r="O5" s="794"/>
      <c r="P5" s="311" t="s">
        <v>337</v>
      </c>
      <c r="Q5" s="312"/>
      <c r="R5" s="312"/>
    </row>
    <row r="6" spans="1:20" s="313" customFormat="1" ht="21.75" customHeight="1">
      <c r="A6" s="782" t="s">
        <v>57</v>
      </c>
      <c r="B6" s="783"/>
      <c r="C6" s="671" t="s">
        <v>31</v>
      </c>
      <c r="D6" s="655"/>
      <c r="E6" s="671" t="s">
        <v>7</v>
      </c>
      <c r="F6" s="775"/>
      <c r="G6" s="775"/>
      <c r="H6" s="775"/>
      <c r="I6" s="775"/>
      <c r="J6" s="775"/>
      <c r="K6" s="775"/>
      <c r="L6" s="775"/>
      <c r="M6" s="775"/>
      <c r="N6" s="775"/>
      <c r="O6" s="775"/>
      <c r="P6" s="775"/>
      <c r="Q6" s="775"/>
      <c r="R6" s="775"/>
      <c r="S6" s="775"/>
      <c r="T6" s="655"/>
    </row>
    <row r="7" spans="1:21" s="313" customFormat="1" ht="22.5" customHeight="1">
      <c r="A7" s="784"/>
      <c r="B7" s="785"/>
      <c r="C7" s="688" t="s">
        <v>338</v>
      </c>
      <c r="D7" s="688" t="s">
        <v>339</v>
      </c>
      <c r="E7" s="671" t="s">
        <v>222</v>
      </c>
      <c r="F7" s="780"/>
      <c r="G7" s="780"/>
      <c r="H7" s="780"/>
      <c r="I7" s="780"/>
      <c r="J7" s="780"/>
      <c r="K7" s="780"/>
      <c r="L7" s="781"/>
      <c r="M7" s="671" t="s">
        <v>340</v>
      </c>
      <c r="N7" s="775"/>
      <c r="O7" s="775"/>
      <c r="P7" s="775"/>
      <c r="Q7" s="775"/>
      <c r="R7" s="775"/>
      <c r="S7" s="775"/>
      <c r="T7" s="655"/>
      <c r="U7" s="314"/>
    </row>
    <row r="8" spans="1:20" s="313" customFormat="1" ht="42.75" customHeight="1">
      <c r="A8" s="784"/>
      <c r="B8" s="785"/>
      <c r="C8" s="689"/>
      <c r="D8" s="689"/>
      <c r="E8" s="652" t="s">
        <v>341</v>
      </c>
      <c r="F8" s="652"/>
      <c r="G8" s="671" t="s">
        <v>342</v>
      </c>
      <c r="H8" s="775"/>
      <c r="I8" s="775"/>
      <c r="J8" s="775"/>
      <c r="K8" s="775"/>
      <c r="L8" s="655"/>
      <c r="M8" s="652" t="s">
        <v>343</v>
      </c>
      <c r="N8" s="652"/>
      <c r="O8" s="671" t="s">
        <v>342</v>
      </c>
      <c r="P8" s="775"/>
      <c r="Q8" s="775"/>
      <c r="R8" s="775"/>
      <c r="S8" s="775"/>
      <c r="T8" s="655"/>
    </row>
    <row r="9" spans="1:20" s="313" customFormat="1" ht="35.25" customHeight="1">
      <c r="A9" s="784"/>
      <c r="B9" s="785"/>
      <c r="C9" s="689"/>
      <c r="D9" s="689"/>
      <c r="E9" s="688" t="s">
        <v>223</v>
      </c>
      <c r="F9" s="688" t="s">
        <v>224</v>
      </c>
      <c r="G9" s="778" t="s">
        <v>225</v>
      </c>
      <c r="H9" s="779"/>
      <c r="I9" s="778" t="s">
        <v>226</v>
      </c>
      <c r="J9" s="779"/>
      <c r="K9" s="778" t="s">
        <v>227</v>
      </c>
      <c r="L9" s="779"/>
      <c r="M9" s="688" t="s">
        <v>228</v>
      </c>
      <c r="N9" s="688" t="s">
        <v>224</v>
      </c>
      <c r="O9" s="778" t="s">
        <v>225</v>
      </c>
      <c r="P9" s="779"/>
      <c r="Q9" s="778" t="s">
        <v>229</v>
      </c>
      <c r="R9" s="779"/>
      <c r="S9" s="778" t="s">
        <v>230</v>
      </c>
      <c r="T9" s="779"/>
    </row>
    <row r="10" spans="1:20" s="313" customFormat="1" ht="25.5" customHeight="1">
      <c r="A10" s="778"/>
      <c r="B10" s="779"/>
      <c r="C10" s="690"/>
      <c r="D10" s="690"/>
      <c r="E10" s="690"/>
      <c r="F10" s="690"/>
      <c r="G10" s="215" t="s">
        <v>228</v>
      </c>
      <c r="H10" s="215" t="s">
        <v>224</v>
      </c>
      <c r="I10" s="219" t="s">
        <v>228</v>
      </c>
      <c r="J10" s="215" t="s">
        <v>224</v>
      </c>
      <c r="K10" s="219" t="s">
        <v>228</v>
      </c>
      <c r="L10" s="215" t="s">
        <v>224</v>
      </c>
      <c r="M10" s="690"/>
      <c r="N10" s="690"/>
      <c r="O10" s="215" t="s">
        <v>228</v>
      </c>
      <c r="P10" s="215" t="s">
        <v>224</v>
      </c>
      <c r="Q10" s="219" t="s">
        <v>228</v>
      </c>
      <c r="R10" s="215" t="s">
        <v>224</v>
      </c>
      <c r="S10" s="219" t="s">
        <v>228</v>
      </c>
      <c r="T10" s="215" t="s">
        <v>224</v>
      </c>
    </row>
    <row r="11" spans="1:32" s="222" customFormat="1" ht="12.75">
      <c r="A11" s="790" t="s">
        <v>6</v>
      </c>
      <c r="B11" s="79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269</v>
      </c>
    </row>
    <row r="12" spans="1:20" s="222" customFormat="1" ht="20.25" customHeight="1">
      <c r="A12" s="776" t="s">
        <v>325</v>
      </c>
      <c r="B12" s="77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87" t="s">
        <v>301</v>
      </c>
      <c r="B13" s="78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92" t="s">
        <v>30</v>
      </c>
      <c r="B14" s="793"/>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270</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272</v>
      </c>
    </row>
    <row r="18" spans="1:20" s="178" customFormat="1" ht="15.75" customHeight="1">
      <c r="A18" s="200">
        <v>2</v>
      </c>
      <c r="B18" s="68" t="s">
        <v>302</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273</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274</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275</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277</v>
      </c>
      <c r="AK21" s="178" t="s">
        <v>278</v>
      </c>
      <c r="AL21" s="178" t="s">
        <v>279</v>
      </c>
      <c r="AM21" s="199" t="s">
        <v>280</v>
      </c>
    </row>
    <row r="22" spans="1:39" s="178" customFormat="1" ht="15.75" customHeight="1">
      <c r="A22" s="200">
        <v>6</v>
      </c>
      <c r="B22" s="68" t="s">
        <v>276</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282</v>
      </c>
    </row>
    <row r="23" spans="1:20" s="178" customFormat="1" ht="15.75" customHeight="1">
      <c r="A23" s="200">
        <v>7</v>
      </c>
      <c r="B23" s="68" t="s">
        <v>281</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283</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277</v>
      </c>
    </row>
    <row r="25" spans="1:36" s="178" customFormat="1" ht="15.75" customHeight="1">
      <c r="A25" s="200">
        <v>9</v>
      </c>
      <c r="B25" s="68" t="s">
        <v>284</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286</v>
      </c>
    </row>
    <row r="26" spans="1:44" s="178" customFormat="1" ht="15.75" customHeight="1">
      <c r="A26" s="200">
        <v>10</v>
      </c>
      <c r="B26" s="68" t="s">
        <v>285</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287</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289</v>
      </c>
      <c r="AI28" s="190">
        <f>82/88</f>
        <v>0.9318181818181818</v>
      </c>
    </row>
    <row r="29" spans="1:20" ht="15.75" customHeight="1">
      <c r="A29" s="180"/>
      <c r="B29" s="687" t="s">
        <v>288</v>
      </c>
      <c r="C29" s="687"/>
      <c r="D29" s="687"/>
      <c r="E29" s="687"/>
      <c r="F29" s="687"/>
      <c r="G29" s="687"/>
      <c r="H29" s="181"/>
      <c r="I29" s="181"/>
      <c r="J29" s="182"/>
      <c r="K29" s="181"/>
      <c r="L29" s="692" t="s">
        <v>288</v>
      </c>
      <c r="M29" s="692"/>
      <c r="N29" s="692"/>
      <c r="O29" s="692"/>
      <c r="P29" s="692"/>
      <c r="Q29" s="692"/>
      <c r="R29" s="692"/>
      <c r="S29" s="692"/>
      <c r="T29" s="692"/>
    </row>
    <row r="30" spans="1:20" ht="15" customHeight="1">
      <c r="A30" s="180"/>
      <c r="B30" s="677" t="s">
        <v>35</v>
      </c>
      <c r="C30" s="677"/>
      <c r="D30" s="677"/>
      <c r="E30" s="677"/>
      <c r="F30" s="677"/>
      <c r="G30" s="677"/>
      <c r="H30" s="183"/>
      <c r="I30" s="183"/>
      <c r="J30" s="183"/>
      <c r="K30" s="183"/>
      <c r="L30" s="680" t="s">
        <v>247</v>
      </c>
      <c r="M30" s="680"/>
      <c r="N30" s="680"/>
      <c r="O30" s="680"/>
      <c r="P30" s="680"/>
      <c r="Q30" s="680"/>
      <c r="R30" s="680"/>
      <c r="S30" s="680"/>
      <c r="T30" s="680"/>
    </row>
    <row r="31" spans="1:20" s="320" customFormat="1" ht="18.75">
      <c r="A31" s="318"/>
      <c r="B31" s="674"/>
      <c r="C31" s="674"/>
      <c r="D31" s="674"/>
      <c r="E31" s="674"/>
      <c r="F31" s="674"/>
      <c r="G31" s="319"/>
      <c r="H31" s="319"/>
      <c r="I31" s="319"/>
      <c r="J31" s="319"/>
      <c r="K31" s="319"/>
      <c r="L31" s="675"/>
      <c r="M31" s="675"/>
      <c r="N31" s="675"/>
      <c r="O31" s="675"/>
      <c r="P31" s="675"/>
      <c r="Q31" s="675"/>
      <c r="R31" s="675"/>
      <c r="S31" s="675"/>
      <c r="T31" s="675"/>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86" t="s">
        <v>292</v>
      </c>
      <c r="C33" s="786"/>
      <c r="D33" s="786"/>
      <c r="E33" s="786"/>
      <c r="F33" s="786"/>
      <c r="G33" s="321"/>
      <c r="H33" s="321"/>
      <c r="I33" s="321"/>
      <c r="J33" s="321"/>
      <c r="K33" s="321"/>
      <c r="L33" s="321"/>
      <c r="M33" s="321"/>
      <c r="N33" s="321"/>
      <c r="O33" s="786" t="s">
        <v>292</v>
      </c>
      <c r="P33" s="786"/>
      <c r="Q33" s="786"/>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72" t="s">
        <v>248</v>
      </c>
      <c r="C39" s="572"/>
      <c r="D39" s="572"/>
      <c r="E39" s="572"/>
      <c r="F39" s="572"/>
      <c r="G39" s="572"/>
      <c r="H39" s="182"/>
      <c r="I39" s="182"/>
      <c r="J39" s="182"/>
      <c r="K39" s="182"/>
      <c r="L39" s="573" t="s">
        <v>249</v>
      </c>
      <c r="M39" s="573"/>
      <c r="N39" s="573"/>
      <c r="O39" s="573"/>
      <c r="P39" s="573"/>
      <c r="Q39" s="573"/>
      <c r="R39" s="573"/>
      <c r="S39" s="573"/>
      <c r="T39" s="573"/>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9:G39"/>
    <mergeCell ref="A14:B14"/>
    <mergeCell ref="F5:O5"/>
    <mergeCell ref="C6:D6"/>
    <mergeCell ref="M8:N8"/>
    <mergeCell ref="L39:T39"/>
    <mergeCell ref="B30:G30"/>
    <mergeCell ref="A6:B10"/>
    <mergeCell ref="B33:F33"/>
    <mergeCell ref="L31:T31"/>
    <mergeCell ref="A13:B13"/>
    <mergeCell ref="O33:Q33"/>
    <mergeCell ref="S9:T9"/>
    <mergeCell ref="A11:B11"/>
    <mergeCell ref="D7:D10"/>
    <mergeCell ref="A1:D1"/>
    <mergeCell ref="E7:L7"/>
    <mergeCell ref="F1:O4"/>
    <mergeCell ref="O9:P9"/>
    <mergeCell ref="G9:H9"/>
    <mergeCell ref="L29:T29"/>
    <mergeCell ref="A3:D3"/>
    <mergeCell ref="A4:D4"/>
    <mergeCell ref="E8:F8"/>
    <mergeCell ref="E6:T6"/>
    <mergeCell ref="M7:T7"/>
    <mergeCell ref="B31:F31"/>
    <mergeCell ref="I9:J9"/>
    <mergeCell ref="Q9:R9"/>
    <mergeCell ref="K9:L9"/>
    <mergeCell ref="L30:T30"/>
    <mergeCell ref="E9:E10"/>
    <mergeCell ref="F9:F10"/>
    <mergeCell ref="A2:D2"/>
    <mergeCell ref="B29:G29"/>
    <mergeCell ref="N9:N10"/>
    <mergeCell ref="O8:T8"/>
    <mergeCell ref="C7:C10"/>
    <mergeCell ref="A12:B12"/>
    <mergeCell ref="G8:L8"/>
    <mergeCell ref="M9:M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2019-02-01T01:49:20Z</cp:lastPrinted>
  <dcterms:created xsi:type="dcterms:W3CDTF">2004-03-07T02:36:29Z</dcterms:created>
  <dcterms:modified xsi:type="dcterms:W3CDTF">2019-02-01T01:52:22Z</dcterms:modified>
  <cp:category/>
  <cp:version/>
  <cp:contentType/>
  <cp:contentStatus/>
</cp:coreProperties>
</file>